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ver" sheetId="1" state="visible" r:id="rId3"/>
    <sheet name="Dashboard" sheetId="2" state="visible" r:id="rId4"/>
    <sheet name="Inputs" sheetId="3" state="visible" r:id="rId5"/>
    <sheet name="Assumptions" sheetId="4" state="visible" r:id="rId6"/>
    <sheet name="Engine" sheetId="5" state="visible" r:id="rId7"/>
    <sheet name="Sensitivity" sheetId="6" state="visible" r:id="rId8"/>
    <sheet name="Narrative" sheetId="7" state="visible" r:id="rId9"/>
    <sheet name="Methodology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<sst xmlns="http://schemas.openxmlformats.org/spreadsheetml/2006/main" count="326" uniqueCount="250">
  <si>
    <t xml:space="preserve">DeviceView ROI Calculator</t>
  </si>
  <si>
    <t xml:space="preserve">Enterprise IT / Internal Help Desk  ·  3-case model with sensitivity, payback, NPV, and persona-tuned narratives</t>
  </si>
  <si>
    <t xml:space="preserve">How to use this workbook</t>
  </si>
  <si>
    <t xml:space="preserve">1) Open the Inputs tab and replace the blue cells with the prospect's numbers.   2) Review the Assumptions tab — each row cites a source. Tighten or loosen for the deal.   3) Read the Dashboard. Use the Narrative tab to copy persona-tuned one-liners.   4) The Sensitivity tab shows which input most moves Year-1 net savings.</t>
  </si>
  <si>
    <t xml:space="preserve">Color conventions</t>
  </si>
  <si>
    <t xml:space="preserve">Blue text</t>
  </si>
  <si>
    <t xml:space="preserve">Customer-entered inputs</t>
  </si>
  <si>
    <t xml:space="preserve">Black text</t>
  </si>
  <si>
    <t xml:space="preserve">Formulas and calculations</t>
  </si>
  <si>
    <t xml:space="preserve">Green text</t>
  </si>
  <si>
    <t xml:space="preserve">Links to other worksheets</t>
  </si>
  <si>
    <t xml:space="preserve">Yellow fill</t>
  </si>
  <si>
    <t xml:space="preserve">Key assumption — review before sending</t>
  </si>
  <si>
    <t xml:space="preserve">Sheet map</t>
  </si>
  <si>
    <t xml:space="preserve">Dashboard</t>
  </si>
  <si>
    <t xml:space="preserve">3-case summary: annual savings, payback, NPV, ROI, per-endpoint and per-tech metrics.</t>
  </si>
  <si>
    <t xml:space="preserve">Inputs</t>
  </si>
  <si>
    <t xml:space="preserve">Customer-entered variables grouped by Volume, Cost basis, Performance, Adoption, Pricing.</t>
  </si>
  <si>
    <t xml:space="preserve">Assumptions</t>
  </si>
  <si>
    <t xml:space="preserve">Internal constants per scenario, each labeled with a source and confidence level.</t>
  </si>
  <si>
    <t xml:space="preserve">Engine</t>
  </si>
  <si>
    <t xml:space="preserve">Year-by-year value-stream calculations and cost build-up.</t>
  </si>
  <si>
    <t xml:space="preserve">Sensitivity</t>
  </si>
  <si>
    <t xml:space="preserve">Tornado: ±25% on each major input, ranked by impact on Year-1 net savings.</t>
  </si>
  <si>
    <t xml:space="preserve">Narrative</t>
  </si>
  <si>
    <t xml:space="preserve">Auto-generated CFO / CTO / Champion one-liners reflecting the customer's actual inputs.</t>
  </si>
  <si>
    <t xml:space="preserve">Methodology</t>
  </si>
  <si>
    <t xml:space="preserve">Sources, formulas, caveats, confidence rating, and AE playbook notes.</t>
  </si>
  <si>
    <t xml:space="preserve">Worked example baked in</t>
  </si>
  <si>
    <t xml:space="preserve">Defaults model a mid-market enterprise: 5,000 endpoints, 25 technicians, 60,000 annual tickets. All defaults can be overwritten on the Inputs tab. The model is driven entirely by formulas — change any input and every output recalculates.</t>
  </si>
  <si>
    <t xml:space="preserve">Confidence rating</t>
  </si>
  <si>
    <t xml:space="preserve">3 / 5.  Volume and labor inputs are high-confidence (customer-supplied). Avoided-incident savings are the weakest line — treat as supporting evidence, not the headline. See Methodology tab for full caveats.</t>
  </si>
  <si>
    <t xml:space="preserve">DeviceView ROI — Dashboard</t>
  </si>
  <si>
    <t xml:space="preserve">Three-case summary. Numbers update automatically when Inputs or Assumptions change.</t>
  </si>
  <si>
    <t xml:space="preserve">Customer profile (from Inputs)</t>
  </si>
  <si>
    <t xml:space="preserve">Endpoints</t>
  </si>
  <si>
    <t xml:space="preserve">Technicians</t>
  </si>
  <si>
    <t xml:space="preserve">Annual tickets</t>
  </si>
  <si>
    <t xml:space="preserve">Headline outputs by scenario</t>
  </si>
  <si>
    <t xml:space="preserve">Metric</t>
  </si>
  <si>
    <t xml:space="preserve">Conservative</t>
  </si>
  <si>
    <t xml:space="preserve">Expected</t>
  </si>
  <si>
    <t xml:space="preserve">Aggressive</t>
  </si>
  <si>
    <t xml:space="preserve">Gross savings at full deployment ($/yr)</t>
  </si>
  <si>
    <t xml:space="preserve">Year 1 net cash flow</t>
  </si>
  <si>
    <t xml:space="preserve">Year 2 net cash flow</t>
  </si>
  <si>
    <t xml:space="preserve">Year 3 net cash flow</t>
  </si>
  <si>
    <t xml:space="preserve">3-year cumulative net</t>
  </si>
  <si>
    <t xml:space="preserve">3-year NPV (at customer discount rate)</t>
  </si>
  <si>
    <t xml:space="preserve">3-year ROI %</t>
  </si>
  <si>
    <t xml:space="preserve">Payback period (approx)</t>
  </si>
  <si>
    <t xml:space="preserve">Year-3 net per endpoint</t>
  </si>
  <si>
    <t xml:space="preserve">Year-3 net per technician</t>
  </si>
  <si>
    <t xml:space="preserve">Tech hours returned per quarter (Y3)</t>
  </si>
  <si>
    <t xml:space="preserve">Customer Inputs</t>
  </si>
  <si>
    <t xml:space="preserve">Replace blue cells with prospect-specific numbers. Defaults reflect a mid-market enterprise (5,000 endpoints, 25 techs).</t>
  </si>
  <si>
    <t xml:space="preserve">Volume — scale of operation</t>
  </si>
  <si>
    <t xml:space="preserve">Total endpoints under management</t>
  </si>
  <si>
    <t xml:space="preserve">endpoints</t>
  </si>
  <si>
    <t xml:space="preserve">Phones + tablets + laptops + desktops + kiosks</t>
  </si>
  <si>
    <t xml:space="preserve">Total support technicians</t>
  </si>
  <si>
    <t xml:space="preserve">FTE</t>
  </si>
  <si>
    <t xml:space="preserve">Combined L1 / L2 / L3</t>
  </si>
  <si>
    <t xml:space="preserve">Annual help desk tickets</t>
  </si>
  <si>
    <t xml:space="preserve">tickets/yr</t>
  </si>
  <si>
    <t xml:space="preserve">Approx 12 tickets/endpoint/yr is typical mid-market</t>
  </si>
  <si>
    <t xml:space="preserve">% of tickets requiring a remote session</t>
  </si>
  <si>
    <t xml:space="preserve">of tickets</t>
  </si>
  <si>
    <t xml:space="preserve">Remote-eligible portion of total volume</t>
  </si>
  <si>
    <t xml:space="preserve">% of remote-eligible tickets that are escalated</t>
  </si>
  <si>
    <t xml:space="preserve">of remote tix</t>
  </si>
  <si>
    <t xml:space="preserve">L1 → L2 / L3 escalation rate</t>
  </si>
  <si>
    <t xml:space="preserve">Cost basis — current spend on the problem</t>
  </si>
  <si>
    <t xml:space="preserve">Loaded technician cost</t>
  </si>
  <si>
    <t xml:space="preserve">$/hour</t>
  </si>
  <si>
    <t xml:space="preserve">Fully burdened (salary + benefits + overhead)</t>
  </si>
  <si>
    <t xml:space="preserve">Loaded end-user cost</t>
  </si>
  <si>
    <t xml:space="preserve">Fully burdened knowledge-worker time</t>
  </si>
  <si>
    <t xml:space="preserve">Current remote support tool — annual</t>
  </si>
  <si>
    <t xml:space="preserve">$/yr</t>
  </si>
  <si>
    <t xml:space="preserve">TeamViewer / Splashtop / BeyondTrust / etc.</t>
  </si>
  <si>
    <t xml:space="preserve">Adjacent tooling DV displaces — annual</t>
  </si>
  <si>
    <t xml:space="preserve">Session recording, audit-export add-ons, MFA-enforcement modules, ITSM remote bridges</t>
  </si>
  <si>
    <t xml:space="preserve">Average cost of a security incident</t>
  </si>
  <si>
    <t xml:space="preserve">$/incident</t>
  </si>
  <si>
    <t xml:space="preserve">Triage, remediation, legal, downtime — IBM avg breach is multiples higher; conservative figure used</t>
  </si>
  <si>
    <t xml:space="preserve">Annual incidents involving remote tooling</t>
  </si>
  <si>
    <t xml:space="preserve">incidents/yr</t>
  </si>
  <si>
    <t xml:space="preserve">Stolen creds, unauthorized session, audit finding</t>
  </si>
  <si>
    <t xml:space="preserve">Performance — current baseline</t>
  </si>
  <si>
    <t xml:space="preserve">Average minutes per remote session — today</t>
  </si>
  <si>
    <t xml:space="preserve">minutes</t>
  </si>
  <si>
    <t xml:space="preserve">Time from session start to resolution</t>
  </si>
  <si>
    <t xml:space="preserve">Avg minutes lost on a cold escalation</t>
  </si>
  <si>
    <t xml:space="preserve">Context recovery when L2/L3 picks up without inheriting the live session</t>
  </si>
  <si>
    <t xml:space="preserve">Annual security/compliance audits</t>
  </si>
  <si>
    <t xml:space="preserve">audits/yr</t>
  </si>
  <si>
    <t xml:space="preserve">SOC 2, ISO, HIPAA, internal, etc.</t>
  </si>
  <si>
    <t xml:space="preserve">Hours assembling evidence per audit</t>
  </si>
  <si>
    <t xml:space="preserve">hours</t>
  </si>
  <si>
    <t xml:space="preserve">Pulling logs, screenshots, access reviews — without structured exports</t>
  </si>
  <si>
    <t xml:space="preserve">Adoption — average ramp realized per year</t>
  </si>
  <si>
    <t xml:space="preserve">Year 1 average ramp</t>
  </si>
  <si>
    <t xml:space="preserve">of full savings</t>
  </si>
  <si>
    <t xml:space="preserve">Blended-year average: rollout, training, full coverage</t>
  </si>
  <si>
    <t xml:space="preserve">Year 2 average ramp</t>
  </si>
  <si>
    <t xml:space="preserve">Steady-state minus residual onboarding</t>
  </si>
  <si>
    <t xml:space="preserve">Year 3 average ramp</t>
  </si>
  <si>
    <t xml:space="preserve">Steady state at full deployment</t>
  </si>
  <si>
    <t xml:space="preserve">DeviceView pricing — $1/endpoint/month (public list)</t>
  </si>
  <si>
    <t xml:space="preserve">Per-technician monthly fee</t>
  </si>
  <si>
    <t xml:space="preserve">$/tech/mo</t>
  </si>
  <si>
    <t xml:space="preserve">DeviceView is priced per-endpoint. $0 by default; override if your deal has a custom tier.</t>
  </si>
  <si>
    <t xml:space="preserve">Per-endpoint monthly fee</t>
  </si>
  <si>
    <t xml:space="preserve">$/endpoint/mo</t>
  </si>
  <si>
    <t xml:space="preserve">DeviceView's public price. Same per-endpoint rate for every customer — no volume tiers. Enterprise can negotiate term, support SLAs, on-prem, and paid services, but the per-endpoint rate doesn't move. Override only if you have a signed enterprise contract that specifies otherwise.</t>
  </si>
  <si>
    <t xml:space="preserve">One-time implementation fee</t>
  </si>
  <si>
    <t xml:space="preserve">$ Y1 only</t>
  </si>
  <si>
    <t xml:space="preserve">$0 at standard pricing. Override if a paid implementation SOW is part of the deal.</t>
  </si>
  <si>
    <t xml:space="preserve">One-time training / enablement</t>
  </si>
  <si>
    <t xml:space="preserve">$0 at standard pricing. Override if paid training is part of the deal.</t>
  </si>
  <si>
    <t xml:space="preserve">NPV discount rate</t>
  </si>
  <si>
    <t xml:space="preserve">annual</t>
  </si>
  <si>
    <t xml:space="preserve">Mid-market WACC proxy. Override with the customer's actual hurdle rate when known.</t>
  </si>
  <si>
    <t xml:space="preserve">Internal Assumptions — labeled by source and confidence</t>
  </si>
  <si>
    <t xml:space="preserve">Per the persona spec: every assumption labels its origin — vendor-claimed, industry benchmark, customer interview, or estimated. If you can't label it, don't use it.</t>
  </si>
  <si>
    <t xml:space="preserve">Lever</t>
  </si>
  <si>
    <t xml:space="preserve">Source / basis</t>
  </si>
  <si>
    <t xml:space="preserve">Confidence</t>
  </si>
  <si>
    <t xml:space="preserve">Minutes saved per remote session</t>
  </si>
  <si>
    <t xml:space="preserve">Industry benchmark: Forrester TEI on unified remote support cite 30–45% MTTR reductions; conservative haircut applied. DeviceView mechanism: WebRTC P2P, adaptive bitrate, in-session diagnostics, file transfer.</t>
  </si>
  <si>
    <t xml:space="preserve">Medium-High</t>
  </si>
  <si>
    <t xml:space="preserve">Reduction in escalation rate (relative %)</t>
  </si>
  <si>
    <t xml:space="preserve">Estimated. Mechanism: session transfer + multi-tech sessions preserve full context, avoiding cold L1→L2 handoffs. Calibrated against ScreenConnect / BeyondTrust public claims of 15–25% escalation reduction.</t>
  </si>
  <si>
    <t xml:space="preserve">Medium</t>
  </si>
  <si>
    <t xml:space="preserve">Minutes saved per remaining escalation</t>
  </si>
  <si>
    <t xml:space="preserve">Vendor-claimed mechanism: live-session inheritance eliminates ticket re-read and screen re-share. Numbers reflect typical context-recovery overhead in service-desk benchmarks.</t>
  </si>
  <si>
    <t xml:space="preserve">End-user downtime reduction factor</t>
  </si>
  <si>
    <t xml:space="preserve">Estimated. End user is in-session for the duration of the saved minutes — % captures the share of saved tech minutes that translate to recovered user time (vs. background admin work).</t>
  </si>
  <si>
    <t xml:space="preserve">Adjacent-tool consolidation displaced</t>
  </si>
  <si>
    <t xml:space="preserve">DeviceView ships SSO + SCIM + RBAC + MFA + audit logging + recording + SIEM export + ITSM connectors that are commonly bought as add-ons or separate products. Range reflects depth of consolidation actually realized.</t>
  </si>
  <si>
    <t xml:space="preserve">High</t>
  </si>
  <si>
    <t xml:space="preserve">Audit evidence assembly hours saved</t>
  </si>
  <si>
    <t xml:space="preserve">Mechanism: structured exportable audit logs (CSV/JSON) + SIEM/syslog piping replace manual evidence assembly. Range reflects audit-team starting maturity.</t>
  </si>
  <si>
    <t xml:space="preserve">Annual incident probability reduction</t>
  </si>
  <si>
    <t xml:space="preserve">Estimated. Mechanism: JIT access removes standing privileges; adaptive MFA + impossible-travel detection blocks credential abuse; session policies enforce conditional access. Hardest line to defend — keep as supporting evidence.</t>
  </si>
  <si>
    <t xml:space="preserve">Low-Medium</t>
  </si>
  <si>
    <t xml:space="preserve">Annual price escalation</t>
  </si>
  <si>
    <t xml:space="preserve">Default 0%. Override per contract.</t>
  </si>
  <si>
    <t xml:space="preserve">Calculation Engine — value streams by scenario, by year</t>
  </si>
  <si>
    <t xml:space="preserve">Each value stream is computed at full deployment, then ramped per the Year 1/2/3 adoption inputs. Costs paid in full from go-live.</t>
  </si>
  <si>
    <t xml:space="preserve">Derived volumes (shared)</t>
  </si>
  <si>
    <t xml:space="preserve">Remote-eligible tickets / yr</t>
  </si>
  <si>
    <t xml:space="preserve">Escalated remote tickets / yr</t>
  </si>
  <si>
    <t xml:space="preserve">Scenario: Conservative</t>
  </si>
  <si>
    <t xml:space="preserve">Value stream</t>
  </si>
  <si>
    <t xml:space="preserve">Full deployment $/yr</t>
  </si>
  <si>
    <t xml:space="preserve">Year 1</t>
  </si>
  <si>
    <t xml:space="preserve">Year 2</t>
  </si>
  <si>
    <t xml:space="preserve">Year 3</t>
  </si>
  <si>
    <t xml:space="preserve">A. Tech labor saved (faster sessions)</t>
  </si>
  <si>
    <t xml:space="preserve">B. End-user downtime avoided</t>
  </si>
  <si>
    <t xml:space="preserve">C. Escalation savings (avoided + faster handoffs)</t>
  </si>
  <si>
    <t xml:space="preserve">D. Tool consolidation displaced</t>
  </si>
  <si>
    <t xml:space="preserve">E. Audit evidence hours recovered</t>
  </si>
  <si>
    <t xml:space="preserve">F. Avoided incident exposure (supporting)</t>
  </si>
  <si>
    <t xml:space="preserve">Gross savings at full deployment</t>
  </si>
  <si>
    <t xml:space="preserve">Ramped gross savings</t>
  </si>
  <si>
    <t xml:space="preserve">DeviceView per-tech subscription</t>
  </si>
  <si>
    <t xml:space="preserve">DeviceView per-endpoint subscription</t>
  </si>
  <si>
    <t xml:space="preserve">One-time implementation + training (Y1)</t>
  </si>
  <si>
    <t xml:space="preserve">Total DeviceView cost</t>
  </si>
  <si>
    <t xml:space="preserve">Net cash flow</t>
  </si>
  <si>
    <t xml:space="preserve">Cumulative net cash flow</t>
  </si>
  <si>
    <t xml:space="preserve">Discounted cash flow (NPV input)</t>
  </si>
  <si>
    <t xml:space="preserve">3-year NPV</t>
  </si>
  <si>
    <t xml:space="preserve">Payback period (months, approx)</t>
  </si>
  <si>
    <t xml:space="preserve">Net savings per endpoint per year (Y3)</t>
  </si>
  <si>
    <t xml:space="preserve">Net savings per technician per year (Y3)</t>
  </si>
  <si>
    <t xml:space="preserve">Scenario: Expected</t>
  </si>
  <si>
    <t xml:space="preserve">Scenario: Aggressive</t>
  </si>
  <si>
    <t xml:space="preserve">Sensitivity — what moves Year-1 net savings most</t>
  </si>
  <si>
    <t xml:space="preserve">Tornado: ±25% on each lever, holding all others at Expected. Numbers below are deltas vs. Expected Y1 net cash flow.</t>
  </si>
  <si>
    <t xml:space="preserve">Lever (Expected case)</t>
  </si>
  <si>
    <t xml:space="preserve">Y1 Net @ -25%</t>
  </si>
  <si>
    <t xml:space="preserve">Y1 Net @ baseline</t>
  </si>
  <si>
    <t xml:space="preserve">Y1 Net @ +25%</t>
  </si>
  <si>
    <t xml:space="preserve">Spread</t>
  </si>
  <si>
    <t xml:space="preserve">Minutes saved per session (Stream A,B)</t>
  </si>
  <si>
    <t xml:space="preserve">Escalation handling (Stream C)</t>
  </si>
  <si>
    <t xml:space="preserve">Tool consolidation (Stream D)</t>
  </si>
  <si>
    <t xml:space="preserve">Audit hours saved (Stream E)</t>
  </si>
  <si>
    <t xml:space="preserve">Incident probability reduction (Stream F)</t>
  </si>
  <si>
    <t xml:space="preserve">Year-1 ramp</t>
  </si>
  <si>
    <t xml:space="preserve">Per-tech price</t>
  </si>
  <si>
    <t xml:space="preserve">Per-endpoint price</t>
  </si>
  <si>
    <t xml:space="preserve">Read this top-to-bottom: the lever with the largest 'Spread' is where ROI is most sensitive. Lock those numbers down with the customer first.</t>
  </si>
  <si>
    <t xml:space="preserve">Persona-tuned narratives — auto-generated from the Expected case</t>
  </si>
  <si>
    <t xml:space="preserve">Copy these directly into a champion enablement email or a CFO/CTO meeting note. They reflect the customer's actual inputs.</t>
  </si>
  <si>
    <t xml:space="preserve">CFO / Procurement</t>
  </si>
  <si>
    <t xml:space="preserve">CTO / Sec. reviewer</t>
  </si>
  <si>
    <t xml:space="preserve">Champion (Dir. IT)</t>
  </si>
  <si>
    <t xml:space="preserve">60-sec elevator</t>
  </si>
  <si>
    <t xml:space="preserve">Methodology, sources, and AE playbook</t>
  </si>
  <si>
    <t xml:space="preserve">Value-stream decomposition</t>
  </si>
  <si>
    <t xml:space="preserve">A — Tech labor saved: faster sessions return technician minutes to the team.</t>
  </si>
  <si>
    <t xml:space="preserve">    Formula:  remote_eligible_tickets × min_saved_per_session ÷ 60 × tech_$/hr</t>
  </si>
  <si>
    <t xml:space="preserve">B — End-user downtime avoided: while the tech moves faster, the end user is in-session and recovers time.</t>
  </si>
  <si>
    <t xml:space="preserve">    Formula:  remote_eligible × min_saved ÷ 60 × downtime_factor × user_$/hr</t>
  </si>
  <si>
    <t xml:space="preserve">C — Escalation savings: combined effect of (i) avoided escalations and (ii) faster handoff on the rest.</t>
  </si>
  <si>
    <t xml:space="preserve">    Formula:  escal × esc_red × avg_session_min ÷ 60 × tech_$/hr  +  escal × (1 - esc_red) × min_saved_per_escalation ÷ 60 × tech_$/hr</t>
  </si>
  <si>
    <t xml:space="preserve">D — Tool consolidation: the line items DeviceView's IAM + ITSM + recording + SIEM export displace.</t>
  </si>
  <si>
    <t xml:space="preserve">    Formula:  (current_tool + adjacent_tool) × consolidation_factor</t>
  </si>
  <si>
    <t xml:space="preserve">E — Audit evidence hours recovered: structured exports + SIEM piping replace manual collection.</t>
  </si>
  <si>
    <t xml:space="preserve">    Formula:  audits × hrs_per_audit × audit_savings_factor × tech_$/hr</t>
  </si>
  <si>
    <t xml:space="preserve">F — Avoided incident exposure: probability uplift from JIT + adaptive MFA + session policies.</t>
  </si>
  <si>
    <t xml:space="preserve">    Formula:  incidents × cost_per_incident × probability_reduction</t>
  </si>
  <si>
    <t xml:space="preserve">Source labels — every assumption traces to one of these</t>
  </si>
  <si>
    <t xml:space="preserve">vendor-claimed:  internal product mechanism (e.g., session transfer preserves context)</t>
  </si>
  <si>
    <t xml:space="preserve">industry benchmark:  Forrester TEI on unified remote support, ScreenConnect/BeyondTrust public claims</t>
  </si>
  <si>
    <t xml:space="preserve">customer interview:  to be replaced with prospect-validated number when available</t>
  </si>
  <si>
    <t xml:space="preserve">estimated:  modeled, with a haircut from the available evidence — labeled in the Source column</t>
  </si>
  <si>
    <t xml:space="preserve">Sensitivity reading</t>
  </si>
  <si>
    <t xml:space="preserve">The Sensitivity sheet ranks levers by the spread between -25% and +25% deltas vs. Expected Y1 net.</t>
  </si>
  <si>
    <t xml:space="preserve">Levers at the top of the spread list are where the customer's number must be tightened first.</t>
  </si>
  <si>
    <t xml:space="preserve">If a low-confidence lever is also high-spread, that is the discovery question to ask in the next call.</t>
  </si>
  <si>
    <t xml:space="preserve">Confidence rating: 3 / 5</t>
  </si>
  <si>
    <t xml:space="preserve">Strongest:  volume + labor inputs (customer-supplied), tool consolidation (visible on the renewals stack).</t>
  </si>
  <si>
    <t xml:space="preserve">Weakest:  avoided incidents — keep below the headline, treat as supporting evidence.</t>
  </si>
  <si>
    <t xml:space="preserve">Second-weakest:  escalation reduction % — vendor-mechanism-driven, requires customer baseline to defend.</t>
  </si>
  <si>
    <t xml:space="preserve">Top 3 questions to validate live with a real prospect</t>
  </si>
  <si>
    <t xml:space="preserve">1)  What is your average minutes-per-remote-session today, and how do you measure it?  (Anchors Streams A/B.)</t>
  </si>
  <si>
    <t xml:space="preserve">2)  Walk me through your last security audit — how many hours did the team spend assembling evidence, and at what loaded rate?  (Anchors Stream E.)</t>
  </si>
  <si>
    <t xml:space="preserve">3)  Which of these tools are on your stack today: SSO add-on for remote support, separate session-recording vendor, MFA-enforcement module, ITSM remote-launch connector, SIEM forwarder?  (Anchors Stream D.)</t>
  </si>
  <si>
    <t xml:space="preserve">AE / SE playbook</t>
  </si>
  <si>
    <t xml:space="preserve">Discovery call: open the Inputs tab live; fill in the customer's volume + labor numbers; let the Dashboard render in front of them. Don't pre-fill the Assumption columns until you've heard their baseline.</t>
  </si>
  <si>
    <t xml:space="preserve">Business-case meeting: lead with the Narrative tab's CFO line, then walk the Engine tab once if the buyer is technical. Show Sensitivity to demonstrate which inputs you've stress-tested and to invite tightening.</t>
  </si>
  <si>
    <t xml:space="preserve">Procurement handoff: send the workbook with a one-page email summarizing 3-year NPV, payback, and the top three displaced line items from Stream D.</t>
  </si>
  <si>
    <t xml:space="preserve">Always: leave the per-endpoint rate at $1 in the model — that price doesn't move, even for enterprise. What enterprise CAN negotiate (and the model accommodates via overrides): paid implementation/training, custom term length, premium support SLAs, on-prem deployment uplifts. Override only when you have a signed enterprise contract that adds those line items.</t>
  </si>
  <si>
    <t xml:space="preserve">What would make this 10x better</t>
  </si>
  <si>
    <t xml:space="preserve">1) A customer-validated baseline minute-per-session benchmark from a paying DeviceView customer in the same vertical.</t>
  </si>
  <si>
    <t xml:space="preserve">2) An audit-team-rate input separate from technician rate (audit work is often performed by higher-loaded GRC FTEs).</t>
  </si>
  <si>
    <t xml:space="preserve">3) A scenario that prices a self-hosted / on-prem deployment (currently roadmap; treat as Phase-3 follow-on for regulated buyers).</t>
  </si>
  <si>
    <t xml:space="preserve">4) Cohort data: actual escalation rate before/after for 3+ deployed customers — moves Stream C from estimated to evidenced.</t>
  </si>
  <si>
    <t xml:space="preserve">Anti-patterns this model avoids</t>
  </si>
  <si>
    <t xml:space="preserve">No hidden multipliers — every percentage is in the Assumptions tab with a labeled source.</t>
  </si>
  <si>
    <t xml:space="preserve">No round-number ROI — outputs vary precision because inputs vary precision.</t>
  </si>
  <si>
    <t xml:space="preserve">No single-scenario projection — three cases plus tornado are first-class citizens.</t>
  </si>
  <si>
    <t xml:space="preserve">No conflation of 'could save' with 'will save' — Stream F is in the model but called out as supporting evidence, not headline.</t>
  </si>
  <si>
    <t xml:space="preserve">No borrowed customer logos — the worked example is a generic mid-market profile.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</si>
</sst>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\(#,##0\);\-"/>
    <numFmt numFmtId="166" formatCode="_(\$* #,##0_);_(\$* \(#,##0\);_(\$* \-_);_(@_)"/>
    <numFmt numFmtId="167" formatCode="0.0%;\(0.0%\);\-"/>
    <numFmt numFmtId="168" formatCode="0.0&quot; mo&quot;"/>
    <numFmt numFmtId="169" formatCode="0.0"/>
    <numFmt numFmtId="170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sz val="14"/>
      <color rgb="FF0B1220"/>
      <name val="Arial"/>
      <family val="0"/>
      <charset val="1"/>
    </font>
    <font>
      <sz val="10"/>
      <color rgb="FF0B122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0B1220"/>
      <name val="Arial"/>
      <family val="0"/>
      <charset val="1"/>
    </font>
    <font>
      <b val="true"/>
      <sz val="10"/>
      <color rgb="FF0B5FFF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b val="true"/>
      <sz val="18"/>
      <color rgb="FF0B122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B5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B1220"/>
        <bgColor rgb="FF000000"/>
      </patternFill>
    </fill>
    <fill>
      <patternFill patternType="solid">
        <fgColor rgb="FFFFF59D"/>
        <bgColor rgb="FFFEF3C7"/>
      </patternFill>
    </fill>
    <fill>
      <patternFill patternType="solid">
        <fgColor rgb="FFFFFFFF"/>
        <bgColor rgb="FFF8FAFC"/>
      </patternFill>
    </fill>
    <fill>
      <patternFill patternType="solid">
        <fgColor rgb="FF0B5FFF"/>
        <bgColor rgb="FF3366FF"/>
      </patternFill>
    </fill>
    <fill>
      <patternFill patternType="solid">
        <fgColor rgb="FFF8FAFC"/>
        <bgColor rgb="FFFFFFFF"/>
      </patternFill>
    </fill>
    <fill>
      <patternFill patternType="solid">
        <fgColor rgb="FFDCFCE7"/>
        <bgColor rgb="FFEAF2FF"/>
      </patternFill>
    </fill>
    <fill>
      <patternFill patternType="solid">
        <fgColor rgb="FFFEF3C7"/>
        <bgColor rgb="FFFFF59D"/>
      </patternFill>
    </fill>
    <fill>
      <patternFill patternType="solid">
        <fgColor rgb="FFBBF7D0"/>
        <bgColor rgb="FFDCFCE7"/>
      </patternFill>
    </fill>
    <fill>
      <patternFill patternType="solid">
        <fgColor rgb="FFFEE2E2"/>
        <bgColor rgb="FFFEF3C7"/>
      </patternFill>
    </fill>
    <fill>
      <patternFill patternType="solid">
        <fgColor rgb="FFEAF2FF"/>
        <bgColor rgb="FFF8FAF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3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11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8FAFC"/>
      <rgbColor rgb="FF808080"/>
      <rgbColor rgb="FF9999FF"/>
      <rgbColor rgb="FF993366"/>
      <rgbColor rgb="FFFEF3C7"/>
      <rgbColor rgb="FFDCFCE7"/>
      <rgbColor rgb="FF660066"/>
      <rgbColor rgb="FFFF8080"/>
      <rgbColor rgb="FF0B5FFF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F"/>
      <rgbColor rgb="FFBBF7D0"/>
      <rgbColor rgb="FFFFF59D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B122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0" min="3" style="0" width="18"/>
    <col collapsed="false" customWidth="true" hidden="false" outlineLevel="0" max="11" min="11" style="0" width="4"/>
  </cols>
  <sheetData>
    <row r="2" customFormat="false" ht="1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true" outlineLevel="0" collapsed="false">
      <c r="B6" s="3" t="s">
        <v>1</v>
      </c>
      <c r="C6" s="3"/>
      <c r="D6" s="3"/>
      <c r="E6" s="3"/>
      <c r="F6" s="3"/>
      <c r="G6" s="3"/>
      <c r="H6" s="3"/>
      <c r="I6" s="3"/>
      <c r="J6" s="3"/>
    </row>
    <row r="7" customFormat="false" ht="15" hidden="false" customHeight="false" outlineLevel="0" collapsed="false">
      <c r="B7" s="3"/>
      <c r="C7" s="3"/>
      <c r="D7" s="3"/>
      <c r="E7" s="3"/>
      <c r="F7" s="3"/>
      <c r="G7" s="3"/>
      <c r="H7" s="3"/>
      <c r="I7" s="3"/>
      <c r="J7" s="3"/>
    </row>
    <row r="8" customFormat="false" ht="15" hidden="false" customHeight="false" outlineLevel="0" collapsed="false">
      <c r="B8" s="1"/>
      <c r="C8" s="1"/>
      <c r="D8" s="1"/>
      <c r="E8" s="1"/>
      <c r="F8" s="1"/>
      <c r="G8" s="1"/>
      <c r="H8" s="1"/>
      <c r="I8" s="1"/>
      <c r="J8" s="1"/>
    </row>
    <row r="10" customFormat="false" ht="17.35" hidden="false" customHeight="false" outlineLevel="0" collapsed="false">
      <c r="B10" s="4" t="s">
        <v>2</v>
      </c>
    </row>
    <row r="11" customFormat="false" ht="49.5" hidden="false" customHeight="true" outlineLevel="0" collapsed="false">
      <c r="B11" s="5" t="s">
        <v>3</v>
      </c>
      <c r="C11" s="5"/>
      <c r="D11" s="5"/>
      <c r="E11" s="5"/>
      <c r="F11" s="5"/>
      <c r="G11" s="5"/>
      <c r="H11" s="5"/>
      <c r="I11" s="5"/>
      <c r="J11" s="5"/>
    </row>
    <row r="13" customFormat="false" ht="17.35" hidden="false" customHeight="false" outlineLevel="0" collapsed="false">
      <c r="B13" s="4" t="s">
        <v>4</v>
      </c>
    </row>
    <row r="14" customFormat="false" ht="15" hidden="false" customHeight="false" outlineLevel="0" collapsed="false">
      <c r="B14" s="6" t="s">
        <v>5</v>
      </c>
      <c r="C14" s="7" t="s">
        <v>6</v>
      </c>
      <c r="D14" s="7"/>
      <c r="E14" s="7"/>
      <c r="F14" s="7"/>
      <c r="G14" s="7"/>
      <c r="H14" s="7"/>
    </row>
    <row r="15" customFormat="false" ht="15" hidden="false" customHeight="false" outlineLevel="0" collapsed="false">
      <c r="B15" s="8" t="s">
        <v>7</v>
      </c>
      <c r="C15" s="7" t="s">
        <v>8</v>
      </c>
      <c r="D15" s="7"/>
      <c r="E15" s="7"/>
      <c r="F15" s="7"/>
      <c r="G15" s="7"/>
      <c r="H15" s="7"/>
    </row>
    <row r="16" customFormat="false" ht="15" hidden="false" customHeight="false" outlineLevel="0" collapsed="false">
      <c r="B16" s="9" t="s">
        <v>9</v>
      </c>
      <c r="C16" s="7" t="s">
        <v>10</v>
      </c>
      <c r="D16" s="7"/>
      <c r="E16" s="7"/>
      <c r="F16" s="7"/>
      <c r="G16" s="7"/>
      <c r="H16" s="7"/>
    </row>
    <row r="17" customFormat="false" ht="15" hidden="false" customHeight="false" outlineLevel="0" collapsed="false">
      <c r="B17" s="10" t="s">
        <v>11</v>
      </c>
      <c r="C17" s="7" t="s">
        <v>12</v>
      </c>
      <c r="D17" s="7"/>
      <c r="E17" s="7"/>
      <c r="F17" s="7"/>
      <c r="G17" s="7"/>
      <c r="H17" s="7"/>
    </row>
    <row r="20" customFormat="false" ht="17.35" hidden="false" customHeight="false" outlineLevel="0" collapsed="false">
      <c r="B20" s="4" t="s">
        <v>13</v>
      </c>
    </row>
    <row r="21" customFormat="false" ht="15" hidden="false" customHeight="false" outlineLevel="0" collapsed="false">
      <c r="B21" s="11" t="s">
        <v>14</v>
      </c>
      <c r="C21" s="7" t="s">
        <v>15</v>
      </c>
      <c r="D21" s="7"/>
      <c r="E21" s="7"/>
      <c r="F21" s="7"/>
      <c r="G21" s="7"/>
      <c r="H21" s="7"/>
      <c r="I21" s="7"/>
      <c r="J21" s="7"/>
    </row>
    <row r="22" customFormat="false" ht="15" hidden="false" customHeight="false" outlineLevel="0" collapsed="false">
      <c r="B22" s="11" t="s">
        <v>16</v>
      </c>
      <c r="C22" s="7" t="s">
        <v>17</v>
      </c>
      <c r="D22" s="7"/>
      <c r="E22" s="7"/>
      <c r="F22" s="7"/>
      <c r="G22" s="7"/>
      <c r="H22" s="7"/>
      <c r="I22" s="7"/>
      <c r="J22" s="7"/>
    </row>
    <row r="23" customFormat="false" ht="15" hidden="false" customHeight="false" outlineLevel="0" collapsed="false">
      <c r="B23" s="11" t="s">
        <v>18</v>
      </c>
      <c r="C23" s="7" t="s">
        <v>19</v>
      </c>
      <c r="D23" s="7"/>
      <c r="E23" s="7"/>
      <c r="F23" s="7"/>
      <c r="G23" s="7"/>
      <c r="H23" s="7"/>
      <c r="I23" s="7"/>
      <c r="J23" s="7"/>
    </row>
    <row r="24" customFormat="false" ht="15" hidden="false" customHeight="false" outlineLevel="0" collapsed="false">
      <c r="B24" s="11" t="s">
        <v>20</v>
      </c>
      <c r="C24" s="7" t="s">
        <v>21</v>
      </c>
      <c r="D24" s="7"/>
      <c r="E24" s="7"/>
      <c r="F24" s="7"/>
      <c r="G24" s="7"/>
      <c r="H24" s="7"/>
      <c r="I24" s="7"/>
      <c r="J24" s="7"/>
    </row>
    <row r="25" customFormat="false" ht="15" hidden="false" customHeight="false" outlineLevel="0" collapsed="false">
      <c r="B25" s="11" t="s">
        <v>22</v>
      </c>
      <c r="C25" s="7" t="s">
        <v>23</v>
      </c>
      <c r="D25" s="7"/>
      <c r="E25" s="7"/>
      <c r="F25" s="7"/>
      <c r="G25" s="7"/>
      <c r="H25" s="7"/>
      <c r="I25" s="7"/>
      <c r="J25" s="7"/>
    </row>
    <row r="26" customFormat="false" ht="15" hidden="false" customHeight="false" outlineLevel="0" collapsed="false">
      <c r="B26" s="11" t="s">
        <v>24</v>
      </c>
      <c r="C26" s="7" t="s">
        <v>25</v>
      </c>
      <c r="D26" s="7"/>
      <c r="E26" s="7"/>
      <c r="F26" s="7"/>
      <c r="G26" s="7"/>
      <c r="H26" s="7"/>
      <c r="I26" s="7"/>
      <c r="J26" s="7"/>
    </row>
    <row r="27" customFormat="false" ht="15" hidden="false" customHeight="false" outlineLevel="0" collapsed="false">
      <c r="B27" s="11" t="s">
        <v>26</v>
      </c>
      <c r="C27" s="7" t="s">
        <v>27</v>
      </c>
      <c r="D27" s="7"/>
      <c r="E27" s="7"/>
      <c r="F27" s="7"/>
      <c r="G27" s="7"/>
      <c r="H27" s="7"/>
      <c r="I27" s="7"/>
      <c r="J27" s="7"/>
    </row>
    <row r="30" customFormat="false" ht="17.35" hidden="false" customHeight="false" outlineLevel="0" collapsed="false">
      <c r="B30" s="4" t="s">
        <v>28</v>
      </c>
    </row>
    <row r="31" customFormat="false" ht="45" hidden="false" customHeight="true" outlineLevel="0" collapsed="false">
      <c r="B31" s="5" t="s">
        <v>29</v>
      </c>
      <c r="C31" s="5"/>
      <c r="D31" s="5"/>
      <c r="E31" s="5"/>
      <c r="F31" s="5"/>
      <c r="G31" s="5"/>
      <c r="H31" s="5"/>
      <c r="I31" s="5"/>
      <c r="J31" s="5"/>
    </row>
    <row r="34" customFormat="false" ht="17.35" hidden="false" customHeight="false" outlineLevel="0" collapsed="false">
      <c r="B34" s="4" t="s">
        <v>30</v>
      </c>
    </row>
    <row r="35" customFormat="false" ht="39.75" hidden="false" customHeight="true" outlineLevel="0" collapsed="false">
      <c r="B35" s="5" t="s">
        <v>31</v>
      </c>
      <c r="C35" s="5"/>
      <c r="D35" s="5"/>
      <c r="E35" s="5"/>
      <c r="F35" s="5"/>
      <c r="G35" s="5"/>
      <c r="H35" s="5"/>
      <c r="I35" s="5"/>
      <c r="J35" s="5"/>
    </row>
  </sheetData>
  <mergeCells count="16">
    <mergeCell ref="B3:J5"/>
    <mergeCell ref="B6:J7"/>
    <mergeCell ref="B11:J11"/>
    <mergeCell ref="C14:H14"/>
    <mergeCell ref="C15:H15"/>
    <mergeCell ref="C16:H16"/>
    <mergeCell ref="C17:H17"/>
    <mergeCell ref="C21:J21"/>
    <mergeCell ref="C22:J22"/>
    <mergeCell ref="C23:J23"/>
    <mergeCell ref="C24:J24"/>
    <mergeCell ref="C25:J25"/>
    <mergeCell ref="C26:J26"/>
    <mergeCell ref="C27:J27"/>
    <mergeCell ref="B31:J31"/>
    <mergeCell ref="B35:J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5" min="3" style="0" width="18"/>
    <col collapsed="false" customWidth="true" hidden="false" outlineLevel="0" max="6" min="6" style="0" width="4"/>
    <col collapsed="false" customWidth="true" hidden="false" outlineLevel="0" max="7" min="7" style="0" width="22"/>
    <col collapsed="false" customWidth="true" hidden="false" outlineLevel="0" max="10" min="8" style="0" width="18"/>
    <col collapsed="false" customWidth="true" hidden="false" outlineLevel="0" max="11" min="11" style="0" width="4"/>
  </cols>
  <sheetData>
    <row r="2" customFormat="false" ht="36" hidden="false" customHeight="true" outlineLevel="0" collapsed="false">
      <c r="B2" s="12" t="s">
        <v>32</v>
      </c>
      <c r="C2" s="12"/>
      <c r="D2" s="12"/>
      <c r="E2" s="12"/>
      <c r="F2" s="12"/>
      <c r="G2" s="12"/>
      <c r="H2" s="12"/>
      <c r="I2" s="12"/>
      <c r="J2" s="12"/>
    </row>
    <row r="3" customFormat="false" ht="21.75" hidden="false" customHeight="true" outlineLevel="0" collapsed="false">
      <c r="B3" s="13" t="s">
        <v>33</v>
      </c>
      <c r="C3" s="13"/>
      <c r="D3" s="13"/>
      <c r="E3" s="13"/>
      <c r="F3" s="13"/>
      <c r="G3" s="13"/>
      <c r="H3" s="13"/>
      <c r="I3" s="13"/>
      <c r="J3" s="13"/>
    </row>
    <row r="5" customFormat="false" ht="19.5" hidden="false" customHeight="true" outlineLevel="0" collapsed="false">
      <c r="B5" s="14" t="s">
        <v>34</v>
      </c>
    </row>
    <row r="6" customFormat="false" ht="15.75" hidden="false" customHeight="true" outlineLevel="0" collapsed="false">
      <c r="B6" s="15" t="s">
        <v>35</v>
      </c>
      <c r="E6" s="15" t="s">
        <v>36</v>
      </c>
      <c r="H6" s="15" t="s">
        <v>37</v>
      </c>
    </row>
    <row r="7" customFormat="false" ht="25.5" hidden="false" customHeight="true" outlineLevel="0" collapsed="false">
      <c r="B7" s="16" t="n">
        <f aca="false">Inputs!$C$6</f>
        <v>5000</v>
      </c>
      <c r="E7" s="16" t="n">
        <f aca="false">Inputs!$C$7</f>
        <v>25</v>
      </c>
      <c r="H7" s="16" t="n">
        <f aca="false">Inputs!$C$8</f>
        <v>60000</v>
      </c>
    </row>
    <row r="10" customFormat="false" ht="24" hidden="false" customHeight="true" outlineLevel="0" collapsed="false">
      <c r="B10" s="4" t="s">
        <v>38</v>
      </c>
    </row>
    <row r="11" customFormat="false" ht="21.75" hidden="false" customHeight="true" outlineLevel="0" collapsed="false">
      <c r="B11" s="17" t="s">
        <v>39</v>
      </c>
      <c r="C11" s="17" t="s">
        <v>40</v>
      </c>
      <c r="D11" s="17" t="s">
        <v>41</v>
      </c>
      <c r="E11" s="17" t="s">
        <v>42</v>
      </c>
    </row>
    <row r="12" customFormat="false" ht="19.5" hidden="false" customHeight="true" outlineLevel="0" collapsed="false">
      <c r="B12" s="18" t="s">
        <v>43</v>
      </c>
      <c r="C12" s="19" t="n">
        <f aca="false">Engine!$C$17</f>
        <v>325735</v>
      </c>
      <c r="D12" s="20" t="n">
        <f aca="false">Engine!$C$42</f>
        <v>842877.5</v>
      </c>
      <c r="E12" s="19" t="n">
        <f aca="false">Engine!$C$67</f>
        <v>1422350</v>
      </c>
    </row>
    <row r="13" customFormat="false" ht="19.5" hidden="false" customHeight="true" outlineLevel="0" collapsed="false">
      <c r="B13" s="21" t="s">
        <v>44</v>
      </c>
      <c r="C13" s="22" t="n">
        <f aca="false">Engine!$G$23</f>
        <v>86580.75</v>
      </c>
      <c r="D13" s="23" t="n">
        <f aca="false">Engine!$G$48</f>
        <v>319294.875</v>
      </c>
      <c r="E13" s="22" t="n">
        <f aca="false">Engine!$G$73</f>
        <v>580057.5</v>
      </c>
    </row>
    <row r="14" customFormat="false" ht="19.5" hidden="false" customHeight="true" outlineLevel="0" collapsed="false">
      <c r="B14" s="18" t="s">
        <v>45</v>
      </c>
      <c r="C14" s="19" t="n">
        <f aca="false">Engine!$H$23</f>
        <v>200588</v>
      </c>
      <c r="D14" s="20" t="n">
        <f aca="false">Engine!$H$48</f>
        <v>614302</v>
      </c>
      <c r="E14" s="19" t="n">
        <f aca="false">Engine!$H$73</f>
        <v>1077880</v>
      </c>
    </row>
    <row r="15" customFormat="false" ht="19.5" hidden="false" customHeight="true" outlineLevel="0" collapsed="false">
      <c r="B15" s="21" t="s">
        <v>46</v>
      </c>
      <c r="C15" s="22" t="n">
        <f aca="false">Engine!$I$23</f>
        <v>249448.25</v>
      </c>
      <c r="D15" s="23" t="n">
        <f aca="false">Engine!$I$48</f>
        <v>740733.625</v>
      </c>
      <c r="E15" s="22" t="n">
        <f aca="false">Engine!$I$73</f>
        <v>1291232.5</v>
      </c>
    </row>
    <row r="16" customFormat="false" ht="19.5" hidden="false" customHeight="true" outlineLevel="0" collapsed="false">
      <c r="B16" s="18" t="s">
        <v>47</v>
      </c>
      <c r="C16" s="19" t="n">
        <f aca="false">Engine!$I$24</f>
        <v>536617</v>
      </c>
      <c r="D16" s="20" t="n">
        <f aca="false">Engine!$I$49</f>
        <v>1674330.5</v>
      </c>
      <c r="E16" s="19" t="n">
        <f aca="false">Engine!$I$74</f>
        <v>2949170</v>
      </c>
    </row>
    <row r="17" customFormat="false" ht="19.5" hidden="false" customHeight="true" outlineLevel="0" collapsed="false">
      <c r="B17" s="21" t="s">
        <v>48</v>
      </c>
      <c r="C17" s="22" t="n">
        <f aca="false">Engine!$C$26</f>
        <v>431899.14162284</v>
      </c>
      <c r="D17" s="23" t="n">
        <f aca="false">Engine!$C$51</f>
        <v>1354479.80747558</v>
      </c>
      <c r="E17" s="22" t="n">
        <f aca="false">Engine!$C$76</f>
        <v>2388257.00601052</v>
      </c>
    </row>
    <row r="18" customFormat="false" ht="19.5" hidden="false" customHeight="true" outlineLevel="0" collapsed="false">
      <c r="B18" s="18" t="s">
        <v>49</v>
      </c>
      <c r="C18" s="24" t="n">
        <f aca="false">Engine!$C$27</f>
        <v>2.98120555555556</v>
      </c>
      <c r="D18" s="25" t="n">
        <f aca="false">Engine!$C$52</f>
        <v>9.30183611111111</v>
      </c>
      <c r="E18" s="24" t="n">
        <f aca="false">Engine!$C$77</f>
        <v>16.3842777777778</v>
      </c>
    </row>
    <row r="19" customFormat="false" ht="19.5" hidden="false" customHeight="true" outlineLevel="0" collapsed="false">
      <c r="B19" s="21" t="s">
        <v>50</v>
      </c>
      <c r="C19" s="26" t="n">
        <f aca="false">Engine!$C$28</f>
        <v>4.91196831780435</v>
      </c>
      <c r="D19" s="27" t="n">
        <f aca="false">Engine!$C$53</f>
        <v>1.89825923695911</v>
      </c>
      <c r="E19" s="26" t="n">
        <f aca="false">Engine!$C$78</f>
        <v>1.12489893486132</v>
      </c>
    </row>
    <row r="20" customFormat="false" ht="19.5" hidden="false" customHeight="true" outlineLevel="0" collapsed="false">
      <c r="B20" s="18" t="s">
        <v>51</v>
      </c>
      <c r="C20" s="19" t="n">
        <f aca="false">Engine!$C$29</f>
        <v>49.88965</v>
      </c>
      <c r="D20" s="20" t="n">
        <f aca="false">Engine!$C$54</f>
        <v>148.146725</v>
      </c>
      <c r="E20" s="19" t="n">
        <f aca="false">Engine!$C$79</f>
        <v>258.2465</v>
      </c>
    </row>
    <row r="21" customFormat="false" ht="19.5" hidden="false" customHeight="true" outlineLevel="0" collapsed="false">
      <c r="B21" s="21" t="s">
        <v>52</v>
      </c>
      <c r="C21" s="22" t="n">
        <f aca="false">Engine!$C$30</f>
        <v>9977.93</v>
      </c>
      <c r="D21" s="23" t="n">
        <f aca="false">Engine!$C$55</f>
        <v>29629.345</v>
      </c>
      <c r="E21" s="22" t="n">
        <f aca="false">Engine!$C$80</f>
        <v>51649.3</v>
      </c>
    </row>
    <row r="22" customFormat="false" ht="19.5" hidden="false" customHeight="true" outlineLevel="0" collapsed="false">
      <c r="B22" s="18" t="s">
        <v>53</v>
      </c>
      <c r="C22" s="28" t="n">
        <f aca="false">Engine!$C$31</f>
        <v>548.625</v>
      </c>
      <c r="D22" s="29" t="n">
        <f aca="false">Engine!$C$56</f>
        <v>1479.625</v>
      </c>
      <c r="E22" s="28" t="n">
        <f aca="false">Engine!$C$81</f>
        <v>2493.75</v>
      </c>
    </row>
    <row r="25" customFormat="false" ht="31.5" hidden="false" customHeight="true" outlineLevel="0" collapsed="false">
      <c r="B25" s="30" t="str">
        <f aca="false">"Expected case headline:  "&amp;TEXT(Engine!$C$51,"$#,##0")&amp;" 3-year NPV   ·   "&amp;TEXT(Engine!$C$53,"0.0")&amp;" months payback   ·   "&amp;TEXT(Engine!$C$52,"0%")&amp;" 3-year ROI"</f>
        <v>Expected case headline:  $1,354,480 3-year NPV   ·   1.9 months payback   ·   930% 3-year ROI</v>
      </c>
      <c r="C25" s="30"/>
      <c r="D25" s="30"/>
      <c r="E25" s="30"/>
      <c r="F25" s="30"/>
      <c r="G25" s="30"/>
      <c r="H25" s="30"/>
      <c r="I25" s="30"/>
      <c r="J25" s="30"/>
    </row>
  </sheetData>
  <mergeCells count="3">
    <mergeCell ref="B2:J2"/>
    <mergeCell ref="B3:J3"/>
    <mergeCell ref="B25:J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50"/>
  </cols>
  <sheetData>
    <row r="2" customFormat="false" ht="31.5" hidden="false" customHeight="true" outlineLevel="0" collapsed="false">
      <c r="B2" s="31" t="s">
        <v>54</v>
      </c>
      <c r="C2" s="31"/>
      <c r="D2" s="31"/>
      <c r="E2" s="31"/>
    </row>
    <row r="3" customFormat="false" ht="21.75" hidden="false" customHeight="true" outlineLevel="0" collapsed="false">
      <c r="B3" s="13" t="s">
        <v>55</v>
      </c>
      <c r="C3" s="13"/>
      <c r="D3" s="13"/>
      <c r="E3" s="13"/>
    </row>
    <row r="5" customFormat="false" ht="21.75" hidden="false" customHeight="true" outlineLevel="0" collapsed="false">
      <c r="B5" s="32" t="s">
        <v>56</v>
      </c>
      <c r="C5" s="32"/>
      <c r="D5" s="32"/>
      <c r="E5" s="32"/>
    </row>
    <row r="6" customFormat="false" ht="15" hidden="false" customHeight="false" outlineLevel="0" collapsed="false">
      <c r="B6" s="33" t="s">
        <v>57</v>
      </c>
      <c r="C6" s="34" t="n">
        <v>5000</v>
      </c>
      <c r="D6" s="35" t="s">
        <v>58</v>
      </c>
      <c r="E6" s="35" t="s">
        <v>59</v>
      </c>
    </row>
    <row r="7" customFormat="false" ht="15" hidden="false" customHeight="false" outlineLevel="0" collapsed="false">
      <c r="B7" s="33" t="s">
        <v>60</v>
      </c>
      <c r="C7" s="34" t="n">
        <v>25</v>
      </c>
      <c r="D7" s="35" t="s">
        <v>61</v>
      </c>
      <c r="E7" s="35" t="s">
        <v>62</v>
      </c>
    </row>
    <row r="8" customFormat="false" ht="15" hidden="false" customHeight="false" outlineLevel="0" collapsed="false">
      <c r="B8" s="33" t="s">
        <v>63</v>
      </c>
      <c r="C8" s="34" t="n">
        <v>60000</v>
      </c>
      <c r="D8" s="35" t="s">
        <v>64</v>
      </c>
      <c r="E8" s="35" t="s">
        <v>65</v>
      </c>
    </row>
    <row r="9" customFormat="false" ht="15" hidden="false" customHeight="false" outlineLevel="0" collapsed="false">
      <c r="B9" s="33" t="s">
        <v>66</v>
      </c>
      <c r="C9" s="36" t="n">
        <v>0.7</v>
      </c>
      <c r="D9" s="35" t="s">
        <v>67</v>
      </c>
      <c r="E9" s="35" t="s">
        <v>68</v>
      </c>
    </row>
    <row r="10" customFormat="false" ht="15" hidden="false" customHeight="false" outlineLevel="0" collapsed="false">
      <c r="B10" s="33" t="s">
        <v>69</v>
      </c>
      <c r="C10" s="36" t="n">
        <v>0.2</v>
      </c>
      <c r="D10" s="35" t="s">
        <v>70</v>
      </c>
      <c r="E10" s="35" t="s">
        <v>71</v>
      </c>
    </row>
    <row r="12" customFormat="false" ht="21.75" hidden="false" customHeight="true" outlineLevel="0" collapsed="false">
      <c r="B12" s="32" t="s">
        <v>72</v>
      </c>
      <c r="C12" s="32"/>
      <c r="D12" s="32"/>
      <c r="E12" s="32"/>
    </row>
    <row r="13" customFormat="false" ht="15" hidden="false" customHeight="false" outlineLevel="0" collapsed="false">
      <c r="B13" s="33" t="s">
        <v>73</v>
      </c>
      <c r="C13" s="37" t="n">
        <v>75</v>
      </c>
      <c r="D13" s="35" t="s">
        <v>74</v>
      </c>
      <c r="E13" s="35" t="s">
        <v>75</v>
      </c>
    </row>
    <row r="14" customFormat="false" ht="15" hidden="false" customHeight="false" outlineLevel="0" collapsed="false">
      <c r="B14" s="33" t="s">
        <v>76</v>
      </c>
      <c r="C14" s="37" t="n">
        <v>55</v>
      </c>
      <c r="D14" s="35" t="s">
        <v>74</v>
      </c>
      <c r="E14" s="35" t="s">
        <v>77</v>
      </c>
    </row>
    <row r="15" customFormat="false" ht="15" hidden="false" customHeight="false" outlineLevel="0" collapsed="false">
      <c r="B15" s="33" t="s">
        <v>78</v>
      </c>
      <c r="C15" s="37" t="n">
        <v>90000</v>
      </c>
      <c r="D15" s="35" t="s">
        <v>79</v>
      </c>
      <c r="E15" s="35" t="s">
        <v>80</v>
      </c>
    </row>
    <row r="16" customFormat="false" ht="22.35" hidden="false" customHeight="false" outlineLevel="0" collapsed="false">
      <c r="B16" s="33" t="s">
        <v>81</v>
      </c>
      <c r="C16" s="37" t="n">
        <v>40000</v>
      </c>
      <c r="D16" s="35" t="s">
        <v>79</v>
      </c>
      <c r="E16" s="35" t="s">
        <v>82</v>
      </c>
    </row>
    <row r="17" customFormat="false" ht="22.35" hidden="false" customHeight="false" outlineLevel="0" collapsed="false">
      <c r="B17" s="33" t="s">
        <v>83</v>
      </c>
      <c r="C17" s="37" t="n">
        <v>250000</v>
      </c>
      <c r="D17" s="35" t="s">
        <v>84</v>
      </c>
      <c r="E17" s="35" t="s">
        <v>85</v>
      </c>
    </row>
    <row r="18" customFormat="false" ht="15" hidden="false" customHeight="false" outlineLevel="0" collapsed="false">
      <c r="B18" s="33" t="s">
        <v>86</v>
      </c>
      <c r="C18" s="38" t="n">
        <v>2</v>
      </c>
      <c r="D18" s="35" t="s">
        <v>87</v>
      </c>
      <c r="E18" s="35" t="s">
        <v>88</v>
      </c>
    </row>
    <row r="20" customFormat="false" ht="21.75" hidden="false" customHeight="true" outlineLevel="0" collapsed="false">
      <c r="B20" s="32" t="s">
        <v>89</v>
      </c>
      <c r="C20" s="32"/>
      <c r="D20" s="32"/>
      <c r="E20" s="32"/>
    </row>
    <row r="21" customFormat="false" ht="15" hidden="false" customHeight="false" outlineLevel="0" collapsed="false">
      <c r="B21" s="33" t="s">
        <v>90</v>
      </c>
      <c r="C21" s="39" t="n">
        <v>28</v>
      </c>
      <c r="D21" s="35" t="s">
        <v>91</v>
      </c>
      <c r="E21" s="35" t="s">
        <v>92</v>
      </c>
    </row>
    <row r="22" customFormat="false" ht="22.35" hidden="false" customHeight="false" outlineLevel="0" collapsed="false">
      <c r="B22" s="33" t="s">
        <v>93</v>
      </c>
      <c r="C22" s="39" t="n">
        <v>18</v>
      </c>
      <c r="D22" s="35" t="s">
        <v>91</v>
      </c>
      <c r="E22" s="35" t="s">
        <v>94</v>
      </c>
    </row>
    <row r="23" customFormat="false" ht="15" hidden="false" customHeight="false" outlineLevel="0" collapsed="false">
      <c r="B23" s="33" t="s">
        <v>95</v>
      </c>
      <c r="C23" s="39" t="n">
        <v>4</v>
      </c>
      <c r="D23" s="35" t="s">
        <v>96</v>
      </c>
      <c r="E23" s="35" t="s">
        <v>97</v>
      </c>
    </row>
    <row r="24" customFormat="false" ht="22.35" hidden="false" customHeight="false" outlineLevel="0" collapsed="false">
      <c r="B24" s="33" t="s">
        <v>98</v>
      </c>
      <c r="C24" s="39" t="n">
        <v>80</v>
      </c>
      <c r="D24" s="35" t="s">
        <v>99</v>
      </c>
      <c r="E24" s="35" t="s">
        <v>100</v>
      </c>
    </row>
    <row r="26" customFormat="false" ht="21.75" hidden="false" customHeight="true" outlineLevel="0" collapsed="false">
      <c r="B26" s="32" t="s">
        <v>101</v>
      </c>
      <c r="C26" s="32"/>
      <c r="D26" s="32"/>
      <c r="E26" s="32"/>
    </row>
    <row r="27" customFormat="false" ht="15" hidden="false" customHeight="false" outlineLevel="0" collapsed="false">
      <c r="B27" s="33" t="s">
        <v>102</v>
      </c>
      <c r="C27" s="40" t="n">
        <v>0.45</v>
      </c>
      <c r="D27" s="35" t="s">
        <v>103</v>
      </c>
      <c r="E27" s="35" t="s">
        <v>104</v>
      </c>
    </row>
    <row r="28" customFormat="false" ht="15" hidden="false" customHeight="false" outlineLevel="0" collapsed="false">
      <c r="B28" s="33" t="s">
        <v>105</v>
      </c>
      <c r="C28" s="40" t="n">
        <v>0.8</v>
      </c>
      <c r="D28" s="35" t="s">
        <v>103</v>
      </c>
      <c r="E28" s="35" t="s">
        <v>106</v>
      </c>
    </row>
    <row r="29" customFormat="false" ht="15" hidden="false" customHeight="false" outlineLevel="0" collapsed="false">
      <c r="B29" s="33" t="s">
        <v>107</v>
      </c>
      <c r="C29" s="40" t="n">
        <v>0.95</v>
      </c>
      <c r="D29" s="35" t="s">
        <v>103</v>
      </c>
      <c r="E29" s="35" t="s">
        <v>108</v>
      </c>
    </row>
    <row r="31" customFormat="false" ht="21.75" hidden="false" customHeight="true" outlineLevel="0" collapsed="false">
      <c r="B31" s="32" t="s">
        <v>109</v>
      </c>
      <c r="C31" s="32"/>
      <c r="D31" s="32"/>
      <c r="E31" s="32"/>
    </row>
    <row r="32" customFormat="false" ht="22.35" hidden="false" customHeight="false" outlineLevel="0" collapsed="false">
      <c r="B32" s="33" t="s">
        <v>110</v>
      </c>
      <c r="C32" s="37" t="n">
        <v>0</v>
      </c>
      <c r="D32" s="35" t="s">
        <v>111</v>
      </c>
      <c r="E32" s="35" t="s">
        <v>112</v>
      </c>
    </row>
    <row r="33" customFormat="false" ht="53.7" hidden="false" customHeight="false" outlineLevel="0" collapsed="false">
      <c r="B33" s="33" t="s">
        <v>113</v>
      </c>
      <c r="C33" s="37" t="n">
        <v>1</v>
      </c>
      <c r="D33" s="35" t="s">
        <v>114</v>
      </c>
      <c r="E33" s="35" t="s">
        <v>115</v>
      </c>
    </row>
    <row r="34" customFormat="false" ht="22.35" hidden="false" customHeight="false" outlineLevel="0" collapsed="false">
      <c r="B34" s="33" t="s">
        <v>116</v>
      </c>
      <c r="C34" s="37" t="n">
        <v>0</v>
      </c>
      <c r="D34" s="35" t="s">
        <v>117</v>
      </c>
      <c r="E34" s="35" t="s">
        <v>118</v>
      </c>
    </row>
    <row r="35" customFormat="false" ht="15" hidden="false" customHeight="false" outlineLevel="0" collapsed="false">
      <c r="B35" s="33" t="s">
        <v>119</v>
      </c>
      <c r="C35" s="37" t="n">
        <v>0</v>
      </c>
      <c r="D35" s="35" t="s">
        <v>117</v>
      </c>
      <c r="E35" s="35" t="s">
        <v>120</v>
      </c>
    </row>
    <row r="36" customFormat="false" ht="22.35" hidden="false" customHeight="false" outlineLevel="0" collapsed="false">
      <c r="B36" s="33" t="s">
        <v>121</v>
      </c>
      <c r="C36" s="36" t="n">
        <v>0.1</v>
      </c>
      <c r="D36" s="35" t="s">
        <v>122</v>
      </c>
      <c r="E36" s="35" t="s">
        <v>123</v>
      </c>
    </row>
  </sheetData>
  <mergeCells count="7">
    <mergeCell ref="B2:E2"/>
    <mergeCell ref="B3:E3"/>
    <mergeCell ref="B5:E5"/>
    <mergeCell ref="B12:E12"/>
    <mergeCell ref="B20:E20"/>
    <mergeCell ref="B26:E26"/>
    <mergeCell ref="B31:E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5" min="3" style="0" width="13"/>
    <col collapsed="false" customWidth="true" hidden="false" outlineLevel="0" max="6" min="6" style="0" width="60"/>
    <col collapsed="false" customWidth="true" hidden="false" outlineLevel="0" max="7" min="7" style="0" width="14"/>
  </cols>
  <sheetData>
    <row r="2" customFormat="false" ht="31.5" hidden="false" customHeight="true" outlineLevel="0" collapsed="false">
      <c r="B2" s="31" t="s">
        <v>124</v>
      </c>
      <c r="C2" s="31"/>
      <c r="D2" s="31"/>
      <c r="E2" s="31"/>
      <c r="F2" s="31"/>
      <c r="G2" s="31"/>
    </row>
    <row r="3" customFormat="false" ht="21.75" hidden="false" customHeight="true" outlineLevel="0" collapsed="false">
      <c r="B3" s="13" t="s">
        <v>125</v>
      </c>
      <c r="C3" s="13"/>
      <c r="D3" s="13"/>
      <c r="E3" s="13"/>
      <c r="F3" s="13"/>
      <c r="G3" s="13"/>
    </row>
    <row r="5" customFormat="false" ht="24" hidden="false" customHeight="true" outlineLevel="0" collapsed="false">
      <c r="B5" s="41" t="s">
        <v>126</v>
      </c>
      <c r="C5" s="41" t="s">
        <v>40</v>
      </c>
      <c r="D5" s="41" t="s">
        <v>41</v>
      </c>
      <c r="E5" s="41" t="s">
        <v>42</v>
      </c>
      <c r="F5" s="41" t="s">
        <v>127</v>
      </c>
      <c r="G5" s="41" t="s">
        <v>128</v>
      </c>
    </row>
    <row r="6" customFormat="false" ht="31.5" hidden="false" customHeight="true" outlineLevel="0" collapsed="false">
      <c r="B6" s="21" t="s">
        <v>129</v>
      </c>
      <c r="C6" s="42" t="n">
        <v>2.5</v>
      </c>
      <c r="D6" s="42" t="n">
        <v>6.5</v>
      </c>
      <c r="E6" s="42" t="n">
        <v>11</v>
      </c>
      <c r="F6" s="35" t="s">
        <v>130</v>
      </c>
      <c r="G6" s="43" t="s">
        <v>131</v>
      </c>
    </row>
    <row r="7" customFormat="false" ht="31.5" hidden="false" customHeight="true" outlineLevel="0" collapsed="false">
      <c r="B7" s="21" t="s">
        <v>132</v>
      </c>
      <c r="C7" s="44" t="n">
        <v>0.08</v>
      </c>
      <c r="D7" s="44" t="n">
        <v>0.18</v>
      </c>
      <c r="E7" s="44" t="n">
        <v>0.3</v>
      </c>
      <c r="F7" s="35" t="s">
        <v>133</v>
      </c>
      <c r="G7" s="45" t="s">
        <v>134</v>
      </c>
    </row>
    <row r="8" customFormat="false" ht="31.5" hidden="false" customHeight="true" outlineLevel="0" collapsed="false">
      <c r="B8" s="21" t="s">
        <v>135</v>
      </c>
      <c r="C8" s="42" t="n">
        <v>4</v>
      </c>
      <c r="D8" s="42" t="n">
        <v>12</v>
      </c>
      <c r="E8" s="42" t="n">
        <v>20</v>
      </c>
      <c r="F8" s="35" t="s">
        <v>136</v>
      </c>
      <c r="G8" s="45" t="s">
        <v>134</v>
      </c>
    </row>
    <row r="9" customFormat="false" ht="31.5" hidden="false" customHeight="true" outlineLevel="0" collapsed="false">
      <c r="B9" s="21" t="s">
        <v>137</v>
      </c>
      <c r="C9" s="44" t="n">
        <v>0.5</v>
      </c>
      <c r="D9" s="44" t="n">
        <v>0.75</v>
      </c>
      <c r="E9" s="44" t="n">
        <v>0.9</v>
      </c>
      <c r="F9" s="35" t="s">
        <v>138</v>
      </c>
      <c r="G9" s="45" t="s">
        <v>134</v>
      </c>
    </row>
    <row r="10" customFormat="false" ht="31.5" hidden="false" customHeight="true" outlineLevel="0" collapsed="false">
      <c r="B10" s="21" t="s">
        <v>139</v>
      </c>
      <c r="C10" s="44" t="n">
        <v>0.4</v>
      </c>
      <c r="D10" s="44" t="n">
        <v>0.65</v>
      </c>
      <c r="E10" s="44" t="n">
        <v>0.85</v>
      </c>
      <c r="F10" s="35" t="s">
        <v>140</v>
      </c>
      <c r="G10" s="46" t="s">
        <v>141</v>
      </c>
    </row>
    <row r="11" customFormat="false" ht="31.5" hidden="false" customHeight="true" outlineLevel="0" collapsed="false">
      <c r="B11" s="21" t="s">
        <v>142</v>
      </c>
      <c r="C11" s="44" t="n">
        <v>0.3</v>
      </c>
      <c r="D11" s="44" t="n">
        <v>0.55</v>
      </c>
      <c r="E11" s="44" t="n">
        <v>0.75</v>
      </c>
      <c r="F11" s="35" t="s">
        <v>143</v>
      </c>
      <c r="G11" s="43" t="s">
        <v>131</v>
      </c>
    </row>
    <row r="12" customFormat="false" ht="31.5" hidden="false" customHeight="true" outlineLevel="0" collapsed="false">
      <c r="B12" s="21" t="s">
        <v>144</v>
      </c>
      <c r="C12" s="44" t="n">
        <v>0.05</v>
      </c>
      <c r="D12" s="44" t="n">
        <v>0.12</v>
      </c>
      <c r="E12" s="44" t="n">
        <v>0.2</v>
      </c>
      <c r="F12" s="35" t="s">
        <v>145</v>
      </c>
      <c r="G12" s="47" t="s">
        <v>146</v>
      </c>
    </row>
    <row r="13" customFormat="false" ht="31.5" hidden="false" customHeight="true" outlineLevel="0" collapsed="false">
      <c r="B13" s="21" t="s">
        <v>147</v>
      </c>
      <c r="C13" s="44" t="n">
        <v>0</v>
      </c>
      <c r="D13" s="44" t="n">
        <v>0</v>
      </c>
      <c r="E13" s="44" t="n">
        <v>0</v>
      </c>
      <c r="F13" s="35" t="s">
        <v>148</v>
      </c>
      <c r="G13" s="46" t="s">
        <v>141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8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5" min="3" style="0" width="16"/>
    <col collapsed="false" customWidth="true" hidden="false" outlineLevel="0" max="6" min="6" style="0" width="4"/>
    <col collapsed="false" customWidth="true" hidden="false" outlineLevel="0" max="9" min="7" style="0" width="14"/>
  </cols>
  <sheetData>
    <row r="2" customFormat="false" ht="31.5" hidden="false" customHeight="true" outlineLevel="0" collapsed="false">
      <c r="B2" s="31" t="s">
        <v>149</v>
      </c>
      <c r="C2" s="31"/>
      <c r="D2" s="31"/>
      <c r="E2" s="31"/>
      <c r="F2" s="31"/>
      <c r="G2" s="31"/>
      <c r="H2" s="31"/>
      <c r="I2" s="31"/>
    </row>
    <row r="3" customFormat="false" ht="15" hidden="false" customHeight="false" outlineLevel="0" collapsed="false">
      <c r="B3" s="13" t="s">
        <v>150</v>
      </c>
      <c r="C3" s="13"/>
      <c r="D3" s="13"/>
      <c r="E3" s="13"/>
      <c r="F3" s="13"/>
      <c r="G3" s="13"/>
      <c r="H3" s="13"/>
      <c r="I3" s="13"/>
    </row>
    <row r="5" customFormat="false" ht="19.5" hidden="false" customHeight="true" outlineLevel="0" collapsed="false">
      <c r="B5" s="48" t="s">
        <v>151</v>
      </c>
      <c r="C5" s="49"/>
      <c r="D5" s="49"/>
      <c r="E5" s="49"/>
      <c r="F5" s="49"/>
      <c r="G5" s="49"/>
      <c r="H5" s="49"/>
      <c r="I5" s="49"/>
    </row>
    <row r="6" customFormat="false" ht="15" hidden="false" customHeight="false" outlineLevel="0" collapsed="false">
      <c r="B6" s="33" t="s">
        <v>152</v>
      </c>
      <c r="C6" s="50" t="n">
        <f aca="false">Inputs!$C$8*Inputs!$C$9</f>
        <v>42000</v>
      </c>
    </row>
    <row r="7" customFormat="false" ht="15" hidden="false" customHeight="false" outlineLevel="0" collapsed="false">
      <c r="B7" s="33" t="s">
        <v>153</v>
      </c>
      <c r="C7" s="51" t="n">
        <f aca="false">C6*Inputs!$C$10</f>
        <v>8400</v>
      </c>
    </row>
    <row r="9" customFormat="false" ht="21.75" hidden="false" customHeight="true" outlineLevel="0" collapsed="false">
      <c r="B9" s="32" t="s">
        <v>154</v>
      </c>
      <c r="C9" s="32"/>
      <c r="D9" s="32"/>
      <c r="E9" s="32"/>
      <c r="F9" s="32"/>
      <c r="G9" s="32"/>
      <c r="H9" s="32"/>
      <c r="I9" s="32"/>
    </row>
    <row r="10" customFormat="false" ht="19.5" hidden="false" customHeight="true" outlineLevel="0" collapsed="false">
      <c r="B10" s="52" t="s">
        <v>155</v>
      </c>
      <c r="C10" s="52" t="s">
        <v>156</v>
      </c>
      <c r="D10" s="52"/>
      <c r="E10" s="52"/>
      <c r="F10" s="52"/>
      <c r="G10" s="52"/>
      <c r="H10" s="52" t="s">
        <v>157</v>
      </c>
      <c r="I10" s="52" t="s">
        <v>158</v>
      </c>
      <c r="J10" s="52" t="s">
        <v>159</v>
      </c>
    </row>
    <row r="11" customFormat="false" ht="15" hidden="false" customHeight="false" outlineLevel="0" collapsed="false">
      <c r="B11" s="33" t="s">
        <v>160</v>
      </c>
      <c r="C11" s="53" t="n">
        <f aca="false">Engine!$C$6*Assumptions!$C$6/60*Inputs!$C$13</f>
        <v>131250</v>
      </c>
    </row>
    <row r="12" customFormat="false" ht="15" hidden="false" customHeight="false" outlineLevel="0" collapsed="false">
      <c r="B12" s="33" t="s">
        <v>161</v>
      </c>
      <c r="C12" s="53" t="n">
        <f aca="false">Engine!$C$6*Assumptions!$C$6/60*Assumptions!$C$9*Inputs!$C$14</f>
        <v>48125</v>
      </c>
    </row>
    <row r="13" customFormat="false" ht="15" hidden="false" customHeight="false" outlineLevel="0" collapsed="false">
      <c r="B13" s="33" t="s">
        <v>162</v>
      </c>
      <c r="C13" s="53" t="n">
        <f aca="false">(Engine!$C$7*Assumptions!$C$7*Inputs!$C$21/60*Inputs!$C$13)+(Engine!$C$7*(1-Assumptions!$C$7)*Assumptions!$C$8/60*Inputs!$C$13)</f>
        <v>62160</v>
      </c>
    </row>
    <row r="14" customFormat="false" ht="15" hidden="false" customHeight="false" outlineLevel="0" collapsed="false">
      <c r="B14" s="33" t="s">
        <v>163</v>
      </c>
      <c r="C14" s="53" t="n">
        <f aca="false">(Inputs!$C$15+Inputs!$C$16)*Assumptions!$C$10</f>
        <v>52000</v>
      </c>
    </row>
    <row r="15" customFormat="false" ht="15" hidden="false" customHeight="false" outlineLevel="0" collapsed="false">
      <c r="B15" s="33" t="s">
        <v>164</v>
      </c>
      <c r="C15" s="53" t="n">
        <f aca="false">Inputs!$C$23*Inputs!$C$24*Assumptions!$C$11*Inputs!$C$13</f>
        <v>7200</v>
      </c>
    </row>
    <row r="16" customFormat="false" ht="15" hidden="false" customHeight="false" outlineLevel="0" collapsed="false">
      <c r="B16" s="33" t="s">
        <v>165</v>
      </c>
      <c r="C16" s="53" t="n">
        <f aca="false">Inputs!$C$18*Inputs!$C$17*Assumptions!$C$12</f>
        <v>25000</v>
      </c>
    </row>
    <row r="17" customFormat="false" ht="15" hidden="false" customHeight="false" outlineLevel="0" collapsed="false">
      <c r="B17" s="48" t="s">
        <v>166</v>
      </c>
      <c r="C17" s="54" t="n">
        <f aca="false">SUM(C11:C16)</f>
        <v>325735</v>
      </c>
      <c r="D17" s="49"/>
      <c r="E17" s="49"/>
      <c r="F17" s="49"/>
      <c r="G17" s="49"/>
      <c r="H17" s="49"/>
      <c r="I17" s="49"/>
    </row>
    <row r="18" customFormat="false" ht="15" hidden="false" customHeight="false" outlineLevel="0" collapsed="false">
      <c r="B18" s="33" t="s">
        <v>167</v>
      </c>
      <c r="G18" s="53" t="n">
        <f aca="false">$C$17*Inputs!$C$27</f>
        <v>146580.75</v>
      </c>
      <c r="H18" s="53" t="n">
        <f aca="false">$C$17*Inputs!$C$28</f>
        <v>260588</v>
      </c>
      <c r="I18" s="53" t="n">
        <f aca="false">$C$17*Inputs!$C$29</f>
        <v>309448.25</v>
      </c>
    </row>
    <row r="19" customFormat="false" ht="15" hidden="false" customHeight="false" outlineLevel="0" collapsed="false">
      <c r="B19" s="33" t="s">
        <v>168</v>
      </c>
      <c r="G19" s="53" t="n">
        <f aca="false">Inputs!$C$7*Inputs!$C$32*12</f>
        <v>0</v>
      </c>
      <c r="H19" s="53" t="n">
        <f aca="false">Inputs!$C$7*Inputs!$C$32*12</f>
        <v>0</v>
      </c>
      <c r="I19" s="53" t="n">
        <f aca="false">Inputs!$C$7*Inputs!$C$32*12</f>
        <v>0</v>
      </c>
    </row>
    <row r="20" customFormat="false" ht="15" hidden="false" customHeight="false" outlineLevel="0" collapsed="false">
      <c r="B20" s="33" t="s">
        <v>169</v>
      </c>
      <c r="G20" s="53" t="n">
        <f aca="false">Inputs!$C$6*Inputs!$C$33*12</f>
        <v>60000</v>
      </c>
      <c r="H20" s="53" t="n">
        <f aca="false">Inputs!$C$6*Inputs!$C$33*12</f>
        <v>60000</v>
      </c>
      <c r="I20" s="53" t="n">
        <f aca="false">Inputs!$C$6*Inputs!$C$33*12</f>
        <v>60000</v>
      </c>
    </row>
    <row r="21" customFormat="false" ht="15" hidden="false" customHeight="false" outlineLevel="0" collapsed="false">
      <c r="B21" s="33" t="s">
        <v>170</v>
      </c>
      <c r="G21" s="53" t="n">
        <f aca="false">Inputs!$C$34+Inputs!$C$35</f>
        <v>0</v>
      </c>
      <c r="H21" s="55" t="n">
        <v>0</v>
      </c>
      <c r="I21" s="55" t="n">
        <v>0</v>
      </c>
    </row>
    <row r="22" customFormat="false" ht="15" hidden="false" customHeight="false" outlineLevel="0" collapsed="false">
      <c r="B22" s="48" t="s">
        <v>171</v>
      </c>
      <c r="C22" s="49"/>
      <c r="D22" s="49"/>
      <c r="E22" s="49"/>
      <c r="F22" s="49"/>
      <c r="G22" s="56" t="n">
        <f aca="false">SUM(G19:G21)</f>
        <v>60000</v>
      </c>
      <c r="H22" s="56" t="n">
        <f aca="false">SUM(H19:H21)</f>
        <v>60000</v>
      </c>
      <c r="I22" s="56" t="n">
        <f aca="false">SUM(I19:I21)</f>
        <v>60000</v>
      </c>
    </row>
    <row r="23" customFormat="false" ht="15" hidden="false" customHeight="false" outlineLevel="0" collapsed="false">
      <c r="B23" s="48" t="s">
        <v>172</v>
      </c>
      <c r="C23" s="49"/>
      <c r="D23" s="49"/>
      <c r="E23" s="49"/>
      <c r="F23" s="49"/>
      <c r="G23" s="54" t="n">
        <f aca="false">G18-G22</f>
        <v>86580.75</v>
      </c>
      <c r="H23" s="54" t="n">
        <f aca="false">H18-H22</f>
        <v>200588</v>
      </c>
      <c r="I23" s="54" t="n">
        <f aca="false">I18-I22</f>
        <v>249448.25</v>
      </c>
    </row>
    <row r="24" customFormat="false" ht="15" hidden="false" customHeight="false" outlineLevel="0" collapsed="false">
      <c r="B24" s="33" t="s">
        <v>173</v>
      </c>
      <c r="G24" s="55" t="n">
        <f aca="false">G23</f>
        <v>86580.75</v>
      </c>
      <c r="H24" s="55" t="n">
        <f aca="false">G24+H23</f>
        <v>287168.75</v>
      </c>
      <c r="I24" s="55" t="n">
        <f aca="false">H24+I23</f>
        <v>536617</v>
      </c>
    </row>
    <row r="25" customFormat="false" ht="15" hidden="false" customHeight="false" outlineLevel="0" collapsed="false">
      <c r="B25" s="33" t="s">
        <v>174</v>
      </c>
      <c r="G25" s="55" t="n">
        <f aca="false">G23/(1+Inputs!$C$36)^1</f>
        <v>78709.7727272727</v>
      </c>
      <c r="H25" s="55" t="n">
        <f aca="false">H23/(1+Inputs!$C$36)^2</f>
        <v>165775.20661157</v>
      </c>
      <c r="I25" s="55" t="n">
        <f aca="false">I23/(1+Inputs!$C$36)^3</f>
        <v>187414.162283997</v>
      </c>
    </row>
    <row r="26" customFormat="false" ht="15" hidden="false" customHeight="false" outlineLevel="0" collapsed="false">
      <c r="B26" s="14" t="s">
        <v>175</v>
      </c>
      <c r="C26" s="57" t="n">
        <f aca="false">SUM(G25:I25)</f>
        <v>431899.14162284</v>
      </c>
    </row>
    <row r="27" customFormat="false" ht="15" hidden="false" customHeight="false" outlineLevel="0" collapsed="false">
      <c r="B27" s="14" t="s">
        <v>49</v>
      </c>
      <c r="C27" s="58" t="n">
        <f aca="false">IFERROR(SUM(G23:I23)/SUM(G22:I22),0)</f>
        <v>2.98120555555556</v>
      </c>
    </row>
    <row r="28" customFormat="false" ht="15" hidden="false" customHeight="false" outlineLevel="0" collapsed="false">
      <c r="B28" s="14" t="s">
        <v>176</v>
      </c>
      <c r="C28" s="59" t="n">
        <f aca="false">IF(G23&gt;0,IF(G18&gt;0,12*G22/G18,36),IF(SUM(G23:H23)&gt;0,12+12*(-G24)/H23,IF(SUM(G23:I23)&gt;0,24+12*(-H24)/I23,36)))</f>
        <v>4.91196831780435</v>
      </c>
    </row>
    <row r="29" customFormat="false" ht="15" hidden="false" customHeight="false" outlineLevel="0" collapsed="false">
      <c r="B29" s="33" t="s">
        <v>177</v>
      </c>
      <c r="C29" s="60" t="n">
        <f aca="false">I23/Inputs!$C$6</f>
        <v>49.88965</v>
      </c>
    </row>
    <row r="30" customFormat="false" ht="15" hidden="false" customHeight="false" outlineLevel="0" collapsed="false">
      <c r="B30" s="33" t="s">
        <v>178</v>
      </c>
      <c r="C30" s="60" t="n">
        <f aca="false">I23/Inputs!$C$7</f>
        <v>9977.93</v>
      </c>
    </row>
    <row r="31" customFormat="false" ht="15" hidden="false" customHeight="false" outlineLevel="0" collapsed="false">
      <c r="B31" s="33" t="s">
        <v>53</v>
      </c>
      <c r="C31" s="61" t="n">
        <f aca="false">(Engine!$C$6*Assumptions!$C$6/60+Engine!$C$7*Assumptions!$C$8/60)*Inputs!$C$29/4</f>
        <v>548.625</v>
      </c>
    </row>
    <row r="34" customFormat="false" ht="21.75" hidden="false" customHeight="true" outlineLevel="0" collapsed="false">
      <c r="B34" s="32" t="s">
        <v>179</v>
      </c>
      <c r="C34" s="32"/>
      <c r="D34" s="32"/>
      <c r="E34" s="32"/>
      <c r="F34" s="32"/>
      <c r="G34" s="32"/>
      <c r="H34" s="32"/>
      <c r="I34" s="32"/>
    </row>
    <row r="35" customFormat="false" ht="19.5" hidden="false" customHeight="true" outlineLevel="0" collapsed="false">
      <c r="B35" s="52" t="s">
        <v>155</v>
      </c>
      <c r="C35" s="52" t="s">
        <v>156</v>
      </c>
      <c r="D35" s="52"/>
      <c r="E35" s="52"/>
      <c r="F35" s="52"/>
      <c r="G35" s="52"/>
      <c r="H35" s="52" t="s">
        <v>157</v>
      </c>
      <c r="I35" s="52" t="s">
        <v>158</v>
      </c>
      <c r="J35" s="52" t="s">
        <v>159</v>
      </c>
    </row>
    <row r="36" customFormat="false" ht="15" hidden="false" customHeight="false" outlineLevel="0" collapsed="false">
      <c r="B36" s="33" t="s">
        <v>160</v>
      </c>
      <c r="C36" s="53" t="n">
        <f aca="false">Engine!$C$6*Assumptions!$D$6/60*Inputs!$C$13</f>
        <v>341250</v>
      </c>
    </row>
    <row r="37" customFormat="false" ht="15" hidden="false" customHeight="false" outlineLevel="0" collapsed="false">
      <c r="B37" s="33" t="s">
        <v>161</v>
      </c>
      <c r="C37" s="53" t="n">
        <f aca="false">Engine!$C$6*Assumptions!$D$6/60*Assumptions!$D$9*Inputs!$C$14</f>
        <v>187687.5</v>
      </c>
    </row>
    <row r="38" customFormat="false" ht="15" hidden="false" customHeight="false" outlineLevel="0" collapsed="false">
      <c r="B38" s="33" t="s">
        <v>162</v>
      </c>
      <c r="C38" s="53" t="n">
        <f aca="false">(Engine!$C$7*Assumptions!$D$7*Inputs!$C$21/60*Inputs!$C$13)+(Engine!$C$7*(1-Assumptions!$D$7)*Assumptions!$D$8/60*Inputs!$C$13)</f>
        <v>156240</v>
      </c>
    </row>
    <row r="39" customFormat="false" ht="15" hidden="false" customHeight="false" outlineLevel="0" collapsed="false">
      <c r="B39" s="33" t="s">
        <v>163</v>
      </c>
      <c r="C39" s="53" t="n">
        <f aca="false">(Inputs!$C$15+Inputs!$C$16)*Assumptions!$D$10</f>
        <v>84500</v>
      </c>
    </row>
    <row r="40" customFormat="false" ht="15" hidden="false" customHeight="false" outlineLevel="0" collapsed="false">
      <c r="B40" s="33" t="s">
        <v>164</v>
      </c>
      <c r="C40" s="53" t="n">
        <f aca="false">Inputs!$C$23*Inputs!$C$24*Assumptions!$D$11*Inputs!$C$13</f>
        <v>13200</v>
      </c>
    </row>
    <row r="41" customFormat="false" ht="15" hidden="false" customHeight="false" outlineLevel="0" collapsed="false">
      <c r="B41" s="33" t="s">
        <v>165</v>
      </c>
      <c r="C41" s="53" t="n">
        <f aca="false">Inputs!$C$18*Inputs!$C$17*Assumptions!$D$12</f>
        <v>60000</v>
      </c>
    </row>
    <row r="42" customFormat="false" ht="15" hidden="false" customHeight="false" outlineLevel="0" collapsed="false">
      <c r="B42" s="48" t="s">
        <v>166</v>
      </c>
      <c r="C42" s="54" t="n">
        <f aca="false">SUM(C36:C41)</f>
        <v>842877.5</v>
      </c>
      <c r="D42" s="49"/>
      <c r="E42" s="49"/>
      <c r="F42" s="49"/>
      <c r="G42" s="49"/>
      <c r="H42" s="49"/>
      <c r="I42" s="49"/>
    </row>
    <row r="43" customFormat="false" ht="15" hidden="false" customHeight="false" outlineLevel="0" collapsed="false">
      <c r="B43" s="33" t="s">
        <v>167</v>
      </c>
      <c r="G43" s="53" t="n">
        <f aca="false">$C$42*Inputs!$C$27</f>
        <v>379294.875</v>
      </c>
      <c r="H43" s="53" t="n">
        <f aca="false">$C$42*Inputs!$C$28</f>
        <v>674302</v>
      </c>
      <c r="I43" s="53" t="n">
        <f aca="false">$C$42*Inputs!$C$29</f>
        <v>800733.625</v>
      </c>
    </row>
    <row r="44" customFormat="false" ht="15" hidden="false" customHeight="false" outlineLevel="0" collapsed="false">
      <c r="B44" s="33" t="s">
        <v>168</v>
      </c>
      <c r="G44" s="53" t="n">
        <f aca="false">Inputs!$C$7*Inputs!$C$32*12</f>
        <v>0</v>
      </c>
      <c r="H44" s="53" t="n">
        <f aca="false">Inputs!$C$7*Inputs!$C$32*12</f>
        <v>0</v>
      </c>
      <c r="I44" s="53" t="n">
        <f aca="false">Inputs!$C$7*Inputs!$C$32*12</f>
        <v>0</v>
      </c>
    </row>
    <row r="45" customFormat="false" ht="15" hidden="false" customHeight="false" outlineLevel="0" collapsed="false">
      <c r="B45" s="33" t="s">
        <v>169</v>
      </c>
      <c r="G45" s="53" t="n">
        <f aca="false">Inputs!$C$6*Inputs!$C$33*12</f>
        <v>60000</v>
      </c>
      <c r="H45" s="53" t="n">
        <f aca="false">Inputs!$C$6*Inputs!$C$33*12</f>
        <v>60000</v>
      </c>
      <c r="I45" s="53" t="n">
        <f aca="false">Inputs!$C$6*Inputs!$C$33*12</f>
        <v>60000</v>
      </c>
    </row>
    <row r="46" customFormat="false" ht="15" hidden="false" customHeight="false" outlineLevel="0" collapsed="false">
      <c r="B46" s="33" t="s">
        <v>170</v>
      </c>
      <c r="G46" s="53" t="n">
        <f aca="false">Inputs!$C$34+Inputs!$C$35</f>
        <v>0</v>
      </c>
      <c r="H46" s="55" t="n">
        <v>0</v>
      </c>
      <c r="I46" s="55" t="n">
        <v>0</v>
      </c>
    </row>
    <row r="47" customFormat="false" ht="15" hidden="false" customHeight="false" outlineLevel="0" collapsed="false">
      <c r="B47" s="48" t="s">
        <v>171</v>
      </c>
      <c r="C47" s="49"/>
      <c r="D47" s="49"/>
      <c r="E47" s="49"/>
      <c r="F47" s="49"/>
      <c r="G47" s="56" t="n">
        <f aca="false">SUM(G44:G46)</f>
        <v>60000</v>
      </c>
      <c r="H47" s="56" t="n">
        <f aca="false">SUM(H44:H46)</f>
        <v>60000</v>
      </c>
      <c r="I47" s="56" t="n">
        <f aca="false">SUM(I44:I46)</f>
        <v>60000</v>
      </c>
    </row>
    <row r="48" customFormat="false" ht="15" hidden="false" customHeight="false" outlineLevel="0" collapsed="false">
      <c r="B48" s="48" t="s">
        <v>172</v>
      </c>
      <c r="C48" s="49"/>
      <c r="D48" s="49"/>
      <c r="E48" s="49"/>
      <c r="F48" s="49"/>
      <c r="G48" s="54" t="n">
        <f aca="false">G43-G47</f>
        <v>319294.875</v>
      </c>
      <c r="H48" s="54" t="n">
        <f aca="false">H43-H47</f>
        <v>614302</v>
      </c>
      <c r="I48" s="54" t="n">
        <f aca="false">I43-I47</f>
        <v>740733.625</v>
      </c>
    </row>
    <row r="49" customFormat="false" ht="15" hidden="false" customHeight="false" outlineLevel="0" collapsed="false">
      <c r="B49" s="33" t="s">
        <v>173</v>
      </c>
      <c r="G49" s="55" t="n">
        <f aca="false">G48</f>
        <v>319294.875</v>
      </c>
      <c r="H49" s="55" t="n">
        <f aca="false">G49+H48</f>
        <v>933596.875</v>
      </c>
      <c r="I49" s="55" t="n">
        <f aca="false">H49+I48</f>
        <v>1674330.5</v>
      </c>
    </row>
    <row r="50" customFormat="false" ht="15" hidden="false" customHeight="false" outlineLevel="0" collapsed="false">
      <c r="B50" s="33" t="s">
        <v>174</v>
      </c>
      <c r="G50" s="55" t="n">
        <f aca="false">G48/(1+Inputs!$C$36)^1</f>
        <v>290268.068181818</v>
      </c>
      <c r="H50" s="55" t="n">
        <f aca="false">H48/(1+Inputs!$C$36)^2</f>
        <v>507687.603305785</v>
      </c>
      <c r="I50" s="55" t="n">
        <f aca="false">I48/(1+Inputs!$C$36)^3</f>
        <v>556524.135987979</v>
      </c>
    </row>
    <row r="51" customFormat="false" ht="15" hidden="false" customHeight="false" outlineLevel="0" collapsed="false">
      <c r="B51" s="14" t="s">
        <v>175</v>
      </c>
      <c r="C51" s="57" t="n">
        <f aca="false">SUM(G50:I50)</f>
        <v>1354479.80747558</v>
      </c>
    </row>
    <row r="52" customFormat="false" ht="15" hidden="false" customHeight="false" outlineLevel="0" collapsed="false">
      <c r="B52" s="14" t="s">
        <v>49</v>
      </c>
      <c r="C52" s="58" t="n">
        <f aca="false">IFERROR(SUM(G48:I48)/SUM(G47:I47),0)</f>
        <v>9.30183611111111</v>
      </c>
    </row>
    <row r="53" customFormat="false" ht="15" hidden="false" customHeight="false" outlineLevel="0" collapsed="false">
      <c r="B53" s="14" t="s">
        <v>176</v>
      </c>
      <c r="C53" s="59" t="n">
        <f aca="false">IF(G48&gt;0,IF(G43&gt;0,12*G47/G43,36),IF(SUM(G48:H48)&gt;0,12+12*(-G49)/H48,IF(SUM(G48:I48)&gt;0,24+12*(-H49)/I48,36)))</f>
        <v>1.89825923695911</v>
      </c>
    </row>
    <row r="54" customFormat="false" ht="15" hidden="false" customHeight="false" outlineLevel="0" collapsed="false">
      <c r="B54" s="33" t="s">
        <v>177</v>
      </c>
      <c r="C54" s="60" t="n">
        <f aca="false">I48/Inputs!$C$6</f>
        <v>148.146725</v>
      </c>
    </row>
    <row r="55" customFormat="false" ht="15" hidden="false" customHeight="false" outlineLevel="0" collapsed="false">
      <c r="B55" s="33" t="s">
        <v>178</v>
      </c>
      <c r="C55" s="60" t="n">
        <f aca="false">I48/Inputs!$C$7</f>
        <v>29629.345</v>
      </c>
    </row>
    <row r="56" customFormat="false" ht="15" hidden="false" customHeight="false" outlineLevel="0" collapsed="false">
      <c r="B56" s="33" t="s">
        <v>53</v>
      </c>
      <c r="C56" s="61" t="n">
        <f aca="false">(Engine!$C$6*Assumptions!$D$6/60+Engine!$C$7*Assumptions!$D$8/60)*Inputs!$C$29/4</f>
        <v>1479.625</v>
      </c>
    </row>
    <row r="59" customFormat="false" ht="21.75" hidden="false" customHeight="true" outlineLevel="0" collapsed="false">
      <c r="B59" s="32" t="s">
        <v>180</v>
      </c>
      <c r="C59" s="32"/>
      <c r="D59" s="32"/>
      <c r="E59" s="32"/>
      <c r="F59" s="32"/>
      <c r="G59" s="32"/>
      <c r="H59" s="32"/>
      <c r="I59" s="32"/>
    </row>
    <row r="60" customFormat="false" ht="19.5" hidden="false" customHeight="true" outlineLevel="0" collapsed="false">
      <c r="B60" s="52" t="s">
        <v>155</v>
      </c>
      <c r="C60" s="52" t="s">
        <v>156</v>
      </c>
      <c r="D60" s="52"/>
      <c r="E60" s="52"/>
      <c r="F60" s="52"/>
      <c r="G60" s="52"/>
      <c r="H60" s="52" t="s">
        <v>157</v>
      </c>
      <c r="I60" s="52" t="s">
        <v>158</v>
      </c>
      <c r="J60" s="52" t="s">
        <v>159</v>
      </c>
    </row>
    <row r="61" customFormat="false" ht="15" hidden="false" customHeight="false" outlineLevel="0" collapsed="false">
      <c r="B61" s="33" t="s">
        <v>160</v>
      </c>
      <c r="C61" s="53" t="n">
        <f aca="false">Engine!$C$6*Assumptions!$E$6/60*Inputs!$C$13</f>
        <v>577500</v>
      </c>
    </row>
    <row r="62" customFormat="false" ht="15" hidden="false" customHeight="false" outlineLevel="0" collapsed="false">
      <c r="B62" s="33" t="s">
        <v>161</v>
      </c>
      <c r="C62" s="53" t="n">
        <f aca="false">Engine!$C$6*Assumptions!$E$6/60*Assumptions!$E$9*Inputs!$C$14</f>
        <v>381150</v>
      </c>
    </row>
    <row r="63" customFormat="false" ht="15" hidden="false" customHeight="false" outlineLevel="0" collapsed="false">
      <c r="B63" s="33" t="s">
        <v>162</v>
      </c>
      <c r="C63" s="53" t="n">
        <f aca="false">(Engine!$C$7*Assumptions!$E$7*Inputs!$C$21/60*Inputs!$C$13)+(Engine!$C$7*(1-Assumptions!$E$7)*Assumptions!$E$8/60*Inputs!$C$13)</f>
        <v>235200</v>
      </c>
    </row>
    <row r="64" customFormat="false" ht="15" hidden="false" customHeight="false" outlineLevel="0" collapsed="false">
      <c r="B64" s="33" t="s">
        <v>163</v>
      </c>
      <c r="C64" s="53" t="n">
        <f aca="false">(Inputs!$C$15+Inputs!$C$16)*Assumptions!$E$10</f>
        <v>110500</v>
      </c>
    </row>
    <row r="65" customFormat="false" ht="15" hidden="false" customHeight="false" outlineLevel="0" collapsed="false">
      <c r="B65" s="33" t="s">
        <v>164</v>
      </c>
      <c r="C65" s="53" t="n">
        <f aca="false">Inputs!$C$23*Inputs!$C$24*Assumptions!$E$11*Inputs!$C$13</f>
        <v>18000</v>
      </c>
    </row>
    <row r="66" customFormat="false" ht="15" hidden="false" customHeight="false" outlineLevel="0" collapsed="false">
      <c r="B66" s="33" t="s">
        <v>165</v>
      </c>
      <c r="C66" s="53" t="n">
        <f aca="false">Inputs!$C$18*Inputs!$C$17*Assumptions!$E$12</f>
        <v>100000</v>
      </c>
    </row>
    <row r="67" customFormat="false" ht="15" hidden="false" customHeight="false" outlineLevel="0" collapsed="false">
      <c r="B67" s="48" t="s">
        <v>166</v>
      </c>
      <c r="C67" s="54" t="n">
        <f aca="false">SUM(C61:C66)</f>
        <v>1422350</v>
      </c>
      <c r="D67" s="49"/>
      <c r="E67" s="49"/>
      <c r="F67" s="49"/>
      <c r="G67" s="49"/>
      <c r="H67" s="49"/>
      <c r="I67" s="49"/>
    </row>
    <row r="68" customFormat="false" ht="15" hidden="false" customHeight="false" outlineLevel="0" collapsed="false">
      <c r="B68" s="33" t="s">
        <v>167</v>
      </c>
      <c r="G68" s="53" t="n">
        <f aca="false">$C$67*Inputs!$C$27</f>
        <v>640057.5</v>
      </c>
      <c r="H68" s="53" t="n">
        <f aca="false">$C$67*Inputs!$C$28</f>
        <v>1137880</v>
      </c>
      <c r="I68" s="53" t="n">
        <f aca="false">$C$67*Inputs!$C$29</f>
        <v>1351232.5</v>
      </c>
    </row>
    <row r="69" customFormat="false" ht="15" hidden="false" customHeight="false" outlineLevel="0" collapsed="false">
      <c r="B69" s="33" t="s">
        <v>168</v>
      </c>
      <c r="G69" s="53" t="n">
        <f aca="false">Inputs!$C$7*Inputs!$C$32*12</f>
        <v>0</v>
      </c>
      <c r="H69" s="53" t="n">
        <f aca="false">Inputs!$C$7*Inputs!$C$32*12</f>
        <v>0</v>
      </c>
      <c r="I69" s="53" t="n">
        <f aca="false">Inputs!$C$7*Inputs!$C$32*12</f>
        <v>0</v>
      </c>
    </row>
    <row r="70" customFormat="false" ht="15" hidden="false" customHeight="false" outlineLevel="0" collapsed="false">
      <c r="B70" s="33" t="s">
        <v>169</v>
      </c>
      <c r="G70" s="53" t="n">
        <f aca="false">Inputs!$C$6*Inputs!$C$33*12</f>
        <v>60000</v>
      </c>
      <c r="H70" s="53" t="n">
        <f aca="false">Inputs!$C$6*Inputs!$C$33*12</f>
        <v>60000</v>
      </c>
      <c r="I70" s="53" t="n">
        <f aca="false">Inputs!$C$6*Inputs!$C$33*12</f>
        <v>60000</v>
      </c>
    </row>
    <row r="71" customFormat="false" ht="15" hidden="false" customHeight="false" outlineLevel="0" collapsed="false">
      <c r="B71" s="33" t="s">
        <v>170</v>
      </c>
      <c r="G71" s="53" t="n">
        <f aca="false">Inputs!$C$34+Inputs!$C$35</f>
        <v>0</v>
      </c>
      <c r="H71" s="55" t="n">
        <v>0</v>
      </c>
      <c r="I71" s="55" t="n">
        <v>0</v>
      </c>
    </row>
    <row r="72" customFormat="false" ht="15" hidden="false" customHeight="false" outlineLevel="0" collapsed="false">
      <c r="B72" s="48" t="s">
        <v>171</v>
      </c>
      <c r="C72" s="49"/>
      <c r="D72" s="49"/>
      <c r="E72" s="49"/>
      <c r="F72" s="49"/>
      <c r="G72" s="56" t="n">
        <f aca="false">SUM(G69:G71)</f>
        <v>60000</v>
      </c>
      <c r="H72" s="56" t="n">
        <f aca="false">SUM(H69:H71)</f>
        <v>60000</v>
      </c>
      <c r="I72" s="56" t="n">
        <f aca="false">SUM(I69:I71)</f>
        <v>60000</v>
      </c>
    </row>
    <row r="73" customFormat="false" ht="15" hidden="false" customHeight="false" outlineLevel="0" collapsed="false">
      <c r="B73" s="48" t="s">
        <v>172</v>
      </c>
      <c r="C73" s="49"/>
      <c r="D73" s="49"/>
      <c r="E73" s="49"/>
      <c r="F73" s="49"/>
      <c r="G73" s="54" t="n">
        <f aca="false">G68-G72</f>
        <v>580057.5</v>
      </c>
      <c r="H73" s="54" t="n">
        <f aca="false">H68-H72</f>
        <v>1077880</v>
      </c>
      <c r="I73" s="54" t="n">
        <f aca="false">I68-I72</f>
        <v>1291232.5</v>
      </c>
    </row>
    <row r="74" customFormat="false" ht="15" hidden="false" customHeight="false" outlineLevel="0" collapsed="false">
      <c r="B74" s="33" t="s">
        <v>173</v>
      </c>
      <c r="G74" s="55" t="n">
        <f aca="false">G73</f>
        <v>580057.5</v>
      </c>
      <c r="H74" s="55" t="n">
        <f aca="false">G74+H73</f>
        <v>1657937.5</v>
      </c>
      <c r="I74" s="55" t="n">
        <f aca="false">H74+I73</f>
        <v>2949170</v>
      </c>
    </row>
    <row r="75" customFormat="false" ht="15" hidden="false" customHeight="false" outlineLevel="0" collapsed="false">
      <c r="B75" s="33" t="s">
        <v>174</v>
      </c>
      <c r="G75" s="55" t="n">
        <f aca="false">G73/(1+Inputs!$C$36)^1</f>
        <v>527325</v>
      </c>
      <c r="H75" s="55" t="n">
        <f aca="false">H73/(1+Inputs!$C$36)^2</f>
        <v>890809.917355372</v>
      </c>
      <c r="I75" s="55" t="n">
        <f aca="false">I73/(1+Inputs!$C$36)^3</f>
        <v>970122.088655146</v>
      </c>
    </row>
    <row r="76" customFormat="false" ht="15" hidden="false" customHeight="false" outlineLevel="0" collapsed="false">
      <c r="B76" s="14" t="s">
        <v>175</v>
      </c>
      <c r="C76" s="57" t="n">
        <f aca="false">SUM(G75:I75)</f>
        <v>2388257.00601052</v>
      </c>
    </row>
    <row r="77" customFormat="false" ht="15" hidden="false" customHeight="false" outlineLevel="0" collapsed="false">
      <c r="B77" s="14" t="s">
        <v>49</v>
      </c>
      <c r="C77" s="58" t="n">
        <f aca="false">IFERROR(SUM(G73:I73)/SUM(G72:I72),0)</f>
        <v>16.3842777777778</v>
      </c>
    </row>
    <row r="78" customFormat="false" ht="15" hidden="false" customHeight="false" outlineLevel="0" collapsed="false">
      <c r="B78" s="14" t="s">
        <v>176</v>
      </c>
      <c r="C78" s="59" t="n">
        <f aca="false">IF(G73&gt;0,IF(G68&gt;0,12*G72/G68,36),IF(SUM(G73:H73)&gt;0,12+12*(-G74)/H73,IF(SUM(G73:I73)&gt;0,24+12*(-H74)/I73,36)))</f>
        <v>1.12489893486132</v>
      </c>
    </row>
    <row r="79" customFormat="false" ht="15" hidden="false" customHeight="false" outlineLevel="0" collapsed="false">
      <c r="B79" s="33" t="s">
        <v>177</v>
      </c>
      <c r="C79" s="60" t="n">
        <f aca="false">I73/Inputs!$C$6</f>
        <v>258.2465</v>
      </c>
    </row>
    <row r="80" customFormat="false" ht="15" hidden="false" customHeight="false" outlineLevel="0" collapsed="false">
      <c r="B80" s="33" t="s">
        <v>178</v>
      </c>
      <c r="C80" s="60" t="n">
        <f aca="false">I73/Inputs!$C$7</f>
        <v>51649.3</v>
      </c>
    </row>
    <row r="81" customFormat="false" ht="15" hidden="false" customHeight="false" outlineLevel="0" collapsed="false">
      <c r="B81" s="33" t="s">
        <v>53</v>
      </c>
      <c r="C81" s="61" t="n">
        <f aca="false">(Engine!$C$6*Assumptions!$E$6/60+Engine!$C$7*Assumptions!$E$8/60)*Inputs!$C$29/4</f>
        <v>2493.75</v>
      </c>
    </row>
  </sheetData>
  <mergeCells count="5">
    <mergeCell ref="B2:I2"/>
    <mergeCell ref="B3:I3"/>
    <mergeCell ref="B9:I9"/>
    <mergeCell ref="B34:I34"/>
    <mergeCell ref="B59:I5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2"/>
    <col collapsed="false" customWidth="true" hidden="false" outlineLevel="0" max="6" min="3" style="0" width="16"/>
    <col collapsed="false" customWidth="true" hidden="false" outlineLevel="0" max="7" min="7" style="0" width="22"/>
  </cols>
  <sheetData>
    <row r="2" customFormat="false" ht="31.5" hidden="false" customHeight="true" outlineLevel="0" collapsed="false">
      <c r="B2" s="31" t="s">
        <v>181</v>
      </c>
      <c r="C2" s="31"/>
      <c r="D2" s="31"/>
      <c r="E2" s="31"/>
      <c r="F2" s="31"/>
      <c r="G2" s="31"/>
    </row>
    <row r="3" customFormat="false" ht="15" hidden="false" customHeight="false" outlineLevel="0" collapsed="false">
      <c r="B3" s="13" t="s">
        <v>182</v>
      </c>
      <c r="C3" s="13"/>
      <c r="D3" s="13"/>
      <c r="E3" s="13"/>
      <c r="F3" s="13"/>
      <c r="G3" s="13"/>
    </row>
    <row r="5" customFormat="false" ht="21.75" hidden="false" customHeight="true" outlineLevel="0" collapsed="false">
      <c r="B5" s="41" t="s">
        <v>183</v>
      </c>
      <c r="C5" s="41" t="s">
        <v>184</v>
      </c>
      <c r="D5" s="41" t="s">
        <v>185</v>
      </c>
      <c r="E5" s="41" t="s">
        <v>186</v>
      </c>
      <c r="F5" s="41" t="s">
        <v>187</v>
      </c>
      <c r="G5" s="41" t="s">
        <v>128</v>
      </c>
    </row>
    <row r="6" customFormat="false" ht="15" hidden="false" customHeight="false" outlineLevel="0" collapsed="false">
      <c r="B6" s="33" t="s">
        <v>188</v>
      </c>
      <c r="C6" s="62" t="n">
        <f aca="false">(((Engine!$C$6*Assumptions!$D$6/60*Inputs!$C$13)*0.75)+((Engine!$C$6*Assumptions!$D$6/60*Assumptions!$D$9*Inputs!$C$14)*0.75)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</f>
        <v>259789.40625</v>
      </c>
      <c r="D6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6" s="62" t="n">
        <f aca="false">(((Engine!$C$6*Assumptions!$D$6/60*Inputs!$C$13)*1.25)+((Engine!$C$6*Assumptions!$D$6/60*Assumptions!$D$9*Inputs!$C$14)*1.25)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</f>
        <v>378800.34375</v>
      </c>
      <c r="F6" s="23" t="n">
        <f aca="false">ABS(E6-C6)</f>
        <v>119010.9375</v>
      </c>
      <c r="G6" s="43" t="s">
        <v>131</v>
      </c>
    </row>
    <row r="7" customFormat="false" ht="15" hidden="false" customHeight="false" outlineLevel="0" collapsed="false">
      <c r="B7" s="33" t="s">
        <v>189</v>
      </c>
      <c r="C7" s="62" t="n">
        <f aca="false">((Engine!$C$6*Assumptions!$D$6/60*Inputs!$C$13)+(Engine!$C$6*Assumptions!$D$6/60*Assumptions!$D$9*Inputs!$C$14)+(((Engine!$C$7*Assumptions!$D$7*Inputs!$C$21/60*Inputs!$C$13)+(Engine!$C$7*(1-Assumptions!$D$7)*Assumptions!$D$8/60*Inputs!$C$13))*0.75)+((Inputs!$C$15+Inputs!$C$16)*Assumptions!$D$10)+(Inputs!$C$23*Inputs!$C$24*Assumptions!$D$11*Inputs!$C$13)+(Inputs!$C$18*Inputs!$C$17*Assumptions!$D$12))*Inputs!$C$27-(Inputs!$C$7*Inputs!$C$32*12+Inputs!$C$6*Inputs!$C$33*12+Inputs!$C$34+Inputs!$C$35)</f>
        <v>301717.875</v>
      </c>
      <c r="D7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7" s="62" t="n">
        <f aca="false">((Engine!$C$6*Assumptions!$D$6/60*Inputs!$C$13)+(Engine!$C$6*Assumptions!$D$6/60*Assumptions!$D$9*Inputs!$C$14)+(((Engine!$C$7*Assumptions!$D$7*Inputs!$C$21/60*Inputs!$C$13)+(Engine!$C$7*(1-Assumptions!$D$7)*Assumptions!$D$8/60*Inputs!$C$13))*1.25)+((Inputs!$C$15+Inputs!$C$16)*Assumptions!$D$10)+(Inputs!$C$23*Inputs!$C$24*Assumptions!$D$11*Inputs!$C$13)+(Inputs!$C$18*Inputs!$C$17*Assumptions!$D$12))*Inputs!$C$27-(Inputs!$C$7*Inputs!$C$32*12+Inputs!$C$6*Inputs!$C$33*12+Inputs!$C$34+Inputs!$C$35)</f>
        <v>336871.875</v>
      </c>
      <c r="F7" s="23" t="n">
        <f aca="false">ABS(E7-C7)</f>
        <v>35154</v>
      </c>
      <c r="G7" s="45" t="s">
        <v>134</v>
      </c>
    </row>
    <row r="8" customFormat="false" ht="15" hidden="false" customHeight="false" outlineLevel="0" collapsed="false">
      <c r="B8" s="33" t="s">
        <v>190</v>
      </c>
      <c r="C8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(Inputs!$C$15+Inputs!$C$16)*Assumptions!$D$10)*0.75)+(Inputs!$C$23*Inputs!$C$24*Assumptions!$D$11*Inputs!$C$13)+(Inputs!$C$18*Inputs!$C$17*Assumptions!$D$12))*Inputs!$C$27-(Inputs!$C$7*Inputs!$C$32*12+Inputs!$C$6*Inputs!$C$33*12+Inputs!$C$34+Inputs!$C$35)</f>
        <v>309788.625</v>
      </c>
      <c r="D8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8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(Inputs!$C$15+Inputs!$C$16)*Assumptions!$D$10)*1.25)+(Inputs!$C$23*Inputs!$C$24*Assumptions!$D$11*Inputs!$C$13)+(Inputs!$C$18*Inputs!$C$17*Assumptions!$D$12))*Inputs!$C$27-(Inputs!$C$7*Inputs!$C$32*12+Inputs!$C$6*Inputs!$C$33*12+Inputs!$C$34+Inputs!$C$35)</f>
        <v>328801.125</v>
      </c>
      <c r="F8" s="23" t="n">
        <f aca="false">ABS(E8-C8)</f>
        <v>19012.5</v>
      </c>
      <c r="G8" s="46" t="s">
        <v>141</v>
      </c>
    </row>
    <row r="9" customFormat="false" ht="15" hidden="false" customHeight="false" outlineLevel="0" collapsed="false">
      <c r="B9" s="33" t="s">
        <v>191</v>
      </c>
      <c r="C9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(Inputs!$C$23*Inputs!$C$24*Assumptions!$D$11*Inputs!$C$13)*0.75)+(Inputs!$C$18*Inputs!$C$17*Assumptions!$D$12))*Inputs!$C$27-(Inputs!$C$7*Inputs!$C$32*12+Inputs!$C$6*Inputs!$C$33*12+Inputs!$C$34+Inputs!$C$35)</f>
        <v>317809.875</v>
      </c>
      <c r="D9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9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(Inputs!$C$23*Inputs!$C$24*Assumptions!$D$11*Inputs!$C$13)*1.25)+(Inputs!$C$18*Inputs!$C$17*Assumptions!$D$12))*Inputs!$C$27-(Inputs!$C$7*Inputs!$C$32*12+Inputs!$C$6*Inputs!$C$33*12+Inputs!$C$34+Inputs!$C$35)</f>
        <v>320779.875</v>
      </c>
      <c r="F9" s="23" t="n">
        <f aca="false">ABS(E9-C9)</f>
        <v>2970</v>
      </c>
      <c r="G9" s="43" t="s">
        <v>131</v>
      </c>
    </row>
    <row r="10" customFormat="false" ht="15" hidden="false" customHeight="false" outlineLevel="0" collapsed="false">
      <c r="B10" s="33" t="s">
        <v>192</v>
      </c>
      <c r="C10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(Inputs!$C$18*Inputs!$C$17*Assumptions!$D$12)*0.75))*Inputs!$C$27-(Inputs!$C$7*Inputs!$C$32*12+Inputs!$C$6*Inputs!$C$33*12+Inputs!$C$34+Inputs!$C$35)</f>
        <v>312544.875</v>
      </c>
      <c r="D10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10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(Inputs!$C$18*Inputs!$C$17*Assumptions!$D$12)*1.25))*Inputs!$C$27-(Inputs!$C$7*Inputs!$C$32*12+Inputs!$C$6*Inputs!$C$33*12+Inputs!$C$34+Inputs!$C$35)</f>
        <v>326044.875</v>
      </c>
      <c r="F10" s="23" t="n">
        <f aca="false">ABS(E10-C10)</f>
        <v>13500</v>
      </c>
      <c r="G10" s="47" t="s">
        <v>146</v>
      </c>
    </row>
    <row r="11" customFormat="false" ht="15" hidden="false" customHeight="false" outlineLevel="0" collapsed="false">
      <c r="B11" s="33" t="s">
        <v>193</v>
      </c>
      <c r="C11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(Inputs!$C$27*0.75)-(Inputs!$C$7*Inputs!$C$32*12+Inputs!$C$6*Inputs!$C$33*12+Inputs!$C$34+Inputs!$C$35)</f>
        <v>224471.15625</v>
      </c>
      <c r="D11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11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(Inputs!$C$27*1.25)-(Inputs!$C$7*Inputs!$C$32*12+Inputs!$C$6*Inputs!$C$33*12+Inputs!$C$34+Inputs!$C$35)</f>
        <v>414118.59375</v>
      </c>
      <c r="F11" s="23" t="n">
        <f aca="false">ABS(E11-C11)</f>
        <v>189647.4375</v>
      </c>
      <c r="G11" s="45" t="s">
        <v>134</v>
      </c>
    </row>
    <row r="12" customFormat="false" ht="15" hidden="false" customHeight="false" outlineLevel="0" collapsed="false">
      <c r="B12" s="33" t="s">
        <v>194</v>
      </c>
      <c r="C12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*1.25+Inputs!$C$6*Inputs!$C$33*12+Inputs!$C$34+Inputs!$C$35)</f>
        <v>319294.875</v>
      </c>
      <c r="D12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12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*0.75+Inputs!$C$6*Inputs!$C$33*12+Inputs!$C$34+Inputs!$C$35)</f>
        <v>319294.875</v>
      </c>
      <c r="F12" s="23" t="n">
        <f aca="false">ABS(E12-C12)</f>
        <v>0</v>
      </c>
      <c r="G12" s="46" t="s">
        <v>141</v>
      </c>
    </row>
    <row r="13" customFormat="false" ht="15" hidden="false" customHeight="false" outlineLevel="0" collapsed="false">
      <c r="B13" s="33" t="s">
        <v>195</v>
      </c>
      <c r="C13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*1.25+Inputs!$C$34+Inputs!$C$35)</f>
        <v>304294.875</v>
      </c>
      <c r="D13" s="63" t="n">
        <f aca="false">(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+Inputs!$C$34+Inputs!$C$35))</f>
        <v>319294.875</v>
      </c>
      <c r="E13" s="62" t="n">
        <f aca="false">((Engine!$C$6*Assumptions!$D$6/60*Inputs!$C$13)+(Engine!$C$6*Assumptions!$D$6/60*Assumptions!$D$9*Inputs!$C$14)+((Engine!$C$7*Assumptions!$D$7*Inputs!$C$21/60*Inputs!$C$13)+(Engine!$C$7*(1-Assumptions!$D$7)*Assumptions!$D$8/60*Inputs!$C$13))+((Inputs!$C$15+Inputs!$C$16)*Assumptions!$D$10)+(Inputs!$C$23*Inputs!$C$24*Assumptions!$D$11*Inputs!$C$13)+(Inputs!$C$18*Inputs!$C$17*Assumptions!$D$12))*Inputs!$C$27-(Inputs!$C$7*Inputs!$C$32*12+Inputs!$C$6*Inputs!$C$33*12*0.75+Inputs!$C$34+Inputs!$C$35)</f>
        <v>334294.875</v>
      </c>
      <c r="F13" s="23" t="n">
        <f aca="false">ABS(E13-C13)</f>
        <v>30000</v>
      </c>
      <c r="G13" s="46" t="s">
        <v>141</v>
      </c>
    </row>
    <row r="15" customFormat="false" ht="15" hidden="false" customHeight="false" outlineLevel="0" collapsed="false">
      <c r="B15" s="13" t="s">
        <v>196</v>
      </c>
      <c r="C15" s="13"/>
      <c r="D15" s="13"/>
      <c r="E15" s="13"/>
      <c r="F15" s="13"/>
      <c r="G15" s="13"/>
    </row>
  </sheetData>
  <mergeCells count="3">
    <mergeCell ref="B2:G2"/>
    <mergeCell ref="B3:G3"/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110"/>
  </cols>
  <sheetData>
    <row r="2" customFormat="false" ht="31.5" hidden="false" customHeight="true" outlineLevel="0" collapsed="false">
      <c r="B2" s="31" t="s">
        <v>197</v>
      </c>
      <c r="C2" s="31"/>
    </row>
    <row r="3" customFormat="false" ht="15" hidden="false" customHeight="false" outlineLevel="0" collapsed="false">
      <c r="B3" s="13" t="s">
        <v>198</v>
      </c>
      <c r="C3" s="13"/>
    </row>
    <row r="5" customFormat="false" ht="60" hidden="false" customHeight="true" outlineLevel="0" collapsed="false">
      <c r="B5" s="64" t="s">
        <v>199</v>
      </c>
      <c r="C5" s="65" t="str">
        <f aca="false">"DeviceView delivers "&amp;TEXT(Engine!$I$48,"$#,##0")&amp;" of net Year-3 cash impact on a base of "&amp;TEXT(Inputs!$C$6,"#,##0")&amp;" endpoints. Payback is "&amp;TEXT(Engine!$C$53,"0.0")&amp;" months, 3-year NPV is "&amp;TEXT(Engine!$C$51,"$#,##0")&amp;" at a "&amp;TEXT(Inputs!$C$36,"0%")&amp;" discount rate, and 3-year ROI is "&amp;TEXT(Engine!$C$52,"0%")&amp;"."</f>
        <v>DeviceView delivers $740,734 of net Year-3 cash impact on a base of 5,000 endpoints. Payback is 1.9 months, 3-year NPV is $1,354,480 at a 10% discount rate, and 3-year ROI is 930%.</v>
      </c>
    </row>
    <row r="7" customFormat="false" ht="60" hidden="false" customHeight="true" outlineLevel="0" collapsed="false">
      <c r="B7" s="64" t="s">
        <v>200</v>
      </c>
      <c r="C7" s="65" t="str">
        <f aca="false">"One platform consolidates SSO, SCIM, RBAC, MFA, audit logging, recording, ITSM bridges, and SIEM export — "&amp;"displacing roughly "&amp;TEXT((Inputs!$C$15+Inputs!$C$16)*Assumptions!$D$10,"$#,##0")&amp;" of adjacent tool spend. Average ticket time drops by "&amp;TEXT(Assumptions!$D$6,"0.0")&amp;" minutes and we recover "&amp;TEXT(Engine!$C$56,"#,##0")&amp;" technician hours per quarter at full ramp. Zero-trust posture (JIT, adaptive MFA, impossible-travel) is shipped today, not roadmapped."</f>
        <v>One platform consolidates SSO, SCIM, RBAC, MFA, audit logging, recording, ITSM bridges, and SIEM export — displacing roughly $84,500 of adjacent tool spend. Average ticket time drops by 6.5 minutes and we recover 1,480 technician hours per quarter at full ramp. Zero-trust posture (JIT, adaptive MFA, impossible-travel) is shipped today, not roadmapped.</v>
      </c>
    </row>
    <row r="9" customFormat="false" ht="60" hidden="false" customHeight="true" outlineLevel="0" collapsed="false">
      <c r="B9" s="64" t="s">
        <v>201</v>
      </c>
      <c r="C9" s="65" t="str">
        <f aca="false">"Cuts our average ticket by "&amp;TEXT(Assumptions!$D$6,"0.0")&amp;" minutes, gives every L1/L2/L3 the same audit and escalation tooling, and shows up in the security review on day one. "&amp;"Year-1 net is "&amp;TEXT(Engine!$G$48,"$#,##0")&amp;" — the tool pays itself back in "&amp;TEXT(Engine!$C$53,"0.0")&amp;" months."</f>
        <v>Cuts our average ticket by 6.5 minutes, gives every L1/L2/L3 the same audit and escalation tooling, and shows up in the security review on day one. Year-1 net is $319,295 — the tool pays itself back in 1.9 months.</v>
      </c>
    </row>
    <row r="11" customFormat="false" ht="60" hidden="false" customHeight="true" outlineLevel="0" collapsed="false">
      <c r="B11" s="64" t="s">
        <v>202</v>
      </c>
      <c r="C11" s="65" t="str">
        <f aca="false">"If I had 60 more seconds:  DeviceView pays back in "&amp;TEXT(Engine!$C$53,"0.0")&amp;" months on a "&amp;TEXT(Inputs!$C$7,"#,##0")&amp;"-technician deployment, returns "&amp;TEXT(Engine!$C$56,"#,##0")&amp;" tech hours every quarter at full ramp, and consolidates the eight tools that show up in your renewals stack into one zero-trust platform that already passes enterprise security review."</f>
        <v>If I had 60 more seconds:  DeviceView pays back in 1.9 months on a 25-technician deployment, returns 1,480 tech hours every quarter at full ramp, and consolidates the eight tools that show up in your renewals stack into one zero-trust platform that already passes enterprise security review.</v>
      </c>
    </row>
  </sheetData>
  <mergeCells count="2">
    <mergeCell ref="B2:C2"/>
    <mergeCell ref="B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10"/>
  </cols>
  <sheetData>
    <row r="2" customFormat="false" ht="31.5" hidden="false" customHeight="true" outlineLevel="0" collapsed="false">
      <c r="B2" s="66" t="s">
        <v>203</v>
      </c>
    </row>
    <row r="4" customFormat="false" ht="24" hidden="false" customHeight="true" outlineLevel="0" collapsed="false">
      <c r="B4" s="67" t="s">
        <v>204</v>
      </c>
    </row>
    <row r="5" customFormat="false" ht="18" hidden="false" customHeight="true" outlineLevel="0" collapsed="false">
      <c r="B5" s="68" t="s">
        <v>205</v>
      </c>
    </row>
    <row r="6" customFormat="false" ht="18" hidden="false" customHeight="true" outlineLevel="0" collapsed="false">
      <c r="B6" s="68" t="s">
        <v>206</v>
      </c>
    </row>
    <row r="7" customFormat="false" ht="18" hidden="false" customHeight="true" outlineLevel="0" collapsed="false">
      <c r="B7" s="68" t="s">
        <v>207</v>
      </c>
    </row>
    <row r="8" customFormat="false" ht="18" hidden="false" customHeight="true" outlineLevel="0" collapsed="false">
      <c r="B8" s="68" t="s">
        <v>208</v>
      </c>
    </row>
    <row r="9" customFormat="false" ht="18" hidden="false" customHeight="true" outlineLevel="0" collapsed="false">
      <c r="B9" s="68" t="s">
        <v>209</v>
      </c>
    </row>
    <row r="10" customFormat="false" ht="18" hidden="false" customHeight="true" outlineLevel="0" collapsed="false">
      <c r="B10" s="68" t="s">
        <v>210</v>
      </c>
    </row>
    <row r="11" customFormat="false" ht="18" hidden="false" customHeight="true" outlineLevel="0" collapsed="false">
      <c r="B11" s="68" t="s">
        <v>211</v>
      </c>
    </row>
    <row r="12" customFormat="false" ht="18" hidden="false" customHeight="true" outlineLevel="0" collapsed="false">
      <c r="B12" s="68" t="s">
        <v>212</v>
      </c>
    </row>
    <row r="13" customFormat="false" ht="18" hidden="false" customHeight="true" outlineLevel="0" collapsed="false">
      <c r="B13" s="68" t="s">
        <v>213</v>
      </c>
    </row>
    <row r="14" customFormat="false" ht="18" hidden="false" customHeight="true" outlineLevel="0" collapsed="false">
      <c r="B14" s="68" t="s">
        <v>214</v>
      </c>
    </row>
    <row r="15" customFormat="false" ht="18" hidden="false" customHeight="true" outlineLevel="0" collapsed="false">
      <c r="B15" s="68" t="s">
        <v>215</v>
      </c>
    </row>
    <row r="16" customFormat="false" ht="18" hidden="false" customHeight="true" outlineLevel="0" collapsed="false">
      <c r="B16" s="68" t="s">
        <v>216</v>
      </c>
    </row>
    <row r="18" customFormat="false" ht="24" hidden="false" customHeight="true" outlineLevel="0" collapsed="false">
      <c r="B18" s="67" t="s">
        <v>217</v>
      </c>
    </row>
    <row r="19" customFormat="false" ht="18" hidden="false" customHeight="true" outlineLevel="0" collapsed="false">
      <c r="B19" s="68" t="s">
        <v>218</v>
      </c>
    </row>
    <row r="20" customFormat="false" ht="18" hidden="false" customHeight="true" outlineLevel="0" collapsed="false">
      <c r="B20" s="68" t="s">
        <v>219</v>
      </c>
    </row>
    <row r="21" customFormat="false" ht="18" hidden="false" customHeight="true" outlineLevel="0" collapsed="false">
      <c r="B21" s="68" t="s">
        <v>220</v>
      </c>
    </row>
    <row r="22" customFormat="false" ht="18" hidden="false" customHeight="true" outlineLevel="0" collapsed="false">
      <c r="B22" s="68" t="s">
        <v>221</v>
      </c>
    </row>
    <row r="24" customFormat="false" ht="24" hidden="false" customHeight="true" outlineLevel="0" collapsed="false">
      <c r="B24" s="67" t="s">
        <v>222</v>
      </c>
    </row>
    <row r="25" customFormat="false" ht="18" hidden="false" customHeight="true" outlineLevel="0" collapsed="false">
      <c r="B25" s="68" t="s">
        <v>223</v>
      </c>
    </row>
    <row r="26" customFormat="false" ht="18" hidden="false" customHeight="true" outlineLevel="0" collapsed="false">
      <c r="B26" s="68" t="s">
        <v>224</v>
      </c>
    </row>
    <row r="27" customFormat="false" ht="18" hidden="false" customHeight="true" outlineLevel="0" collapsed="false">
      <c r="B27" s="68" t="s">
        <v>225</v>
      </c>
    </row>
    <row r="29" customFormat="false" ht="24" hidden="false" customHeight="true" outlineLevel="0" collapsed="false">
      <c r="B29" s="67" t="s">
        <v>226</v>
      </c>
    </row>
    <row r="30" customFormat="false" ht="18" hidden="false" customHeight="true" outlineLevel="0" collapsed="false">
      <c r="B30" s="68" t="s">
        <v>227</v>
      </c>
    </row>
    <row r="31" customFormat="false" ht="18" hidden="false" customHeight="true" outlineLevel="0" collapsed="false">
      <c r="B31" s="68" t="s">
        <v>228</v>
      </c>
    </row>
    <row r="32" customFormat="false" ht="18" hidden="false" customHeight="true" outlineLevel="0" collapsed="false">
      <c r="B32" s="68" t="s">
        <v>229</v>
      </c>
    </row>
    <row r="34" customFormat="false" ht="24" hidden="false" customHeight="true" outlineLevel="0" collapsed="false">
      <c r="B34" s="67" t="s">
        <v>230</v>
      </c>
    </row>
    <row r="35" customFormat="false" ht="18" hidden="false" customHeight="true" outlineLevel="0" collapsed="false">
      <c r="B35" s="68" t="s">
        <v>231</v>
      </c>
    </row>
    <row r="36" customFormat="false" ht="18" hidden="false" customHeight="true" outlineLevel="0" collapsed="false">
      <c r="B36" s="68" t="s">
        <v>232</v>
      </c>
    </row>
    <row r="37" customFormat="false" ht="18" hidden="false" customHeight="true" outlineLevel="0" collapsed="false">
      <c r="B37" s="68" t="s">
        <v>233</v>
      </c>
    </row>
    <row r="39" customFormat="false" ht="24" hidden="false" customHeight="true" outlineLevel="0" collapsed="false">
      <c r="B39" s="67" t="s">
        <v>234</v>
      </c>
    </row>
    <row r="40" customFormat="false" ht="18" hidden="false" customHeight="true" outlineLevel="0" collapsed="false">
      <c r="B40" s="68" t="s">
        <v>235</v>
      </c>
    </row>
    <row r="41" customFormat="false" ht="18" hidden="false" customHeight="true" outlineLevel="0" collapsed="false">
      <c r="B41" s="68" t="s">
        <v>236</v>
      </c>
    </row>
    <row r="42" customFormat="false" ht="18" hidden="false" customHeight="true" outlineLevel="0" collapsed="false">
      <c r="B42" s="68" t="s">
        <v>237</v>
      </c>
    </row>
    <row r="43" customFormat="false" ht="18" hidden="false" customHeight="true" outlineLevel="0" collapsed="false">
      <c r="B43" s="68" t="s">
        <v>238</v>
      </c>
    </row>
    <row r="45" customFormat="false" ht="24" hidden="false" customHeight="true" outlineLevel="0" collapsed="false">
      <c r="B45" s="67" t="s">
        <v>239</v>
      </c>
    </row>
    <row r="46" customFormat="false" ht="18" hidden="false" customHeight="true" outlineLevel="0" collapsed="false">
      <c r="B46" s="68" t="s">
        <v>240</v>
      </c>
    </row>
    <row r="47" customFormat="false" ht="18" hidden="false" customHeight="true" outlineLevel="0" collapsed="false">
      <c r="B47" s="68" t="s">
        <v>241</v>
      </c>
    </row>
    <row r="48" customFormat="false" ht="18" hidden="false" customHeight="true" outlineLevel="0" collapsed="false">
      <c r="B48" s="68" t="s">
        <v>242</v>
      </c>
    </row>
    <row r="49" customFormat="false" ht="18" hidden="false" customHeight="true" outlineLevel="0" collapsed="false">
      <c r="B49" s="68" t="s">
        <v>243</v>
      </c>
    </row>
    <row r="51" customFormat="false" ht="24" hidden="false" customHeight="true" outlineLevel="0" collapsed="false">
      <c r="B51" s="67" t="s">
        <v>244</v>
      </c>
    </row>
    <row r="52" customFormat="false" ht="18" hidden="false" customHeight="true" outlineLevel="0" collapsed="false">
      <c r="B52" s="68" t="s">
        <v>245</v>
      </c>
    </row>
    <row r="53" customFormat="false" ht="18" hidden="false" customHeight="true" outlineLevel="0" collapsed="false">
      <c r="B53" s="68" t="s">
        <v>246</v>
      </c>
    </row>
    <row r="54" customFormat="false" ht="18" hidden="false" customHeight="true" outlineLevel="0" collapsed="false">
      <c r="B54" s="68" t="s">
        <v>247</v>
      </c>
    </row>
    <row r="55" customFormat="false" ht="18" hidden="false" customHeight="true" outlineLevel="0" collapsed="false">
      <c r="B55" s="68" t="s">
        <v>248</v>
      </c>
    </row>
    <row r="56" customFormat="false" ht="18" hidden="false" customHeight="true" outlineLevel="0" collapsed="false">
      <c r="B56" s="68" t="s">
        <v>249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2026-05-02T22:39:10Z</dcterms:created>
  <dc:creator>openpyxl</dc:creator>
  <dc:description/>
  <dc:language>en-US</dc:language>
  <cp:lastModifiedBy/>
  <dcterms:modified xsi:type="dcterms:W3CDTF">2026-05-02T22:39:10Z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